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jilal\OneDrive - AWCBC\Desktop\old desktop\CFO Committee Meeting\2023\"/>
    </mc:Choice>
  </mc:AlternateContent>
  <xr:revisionPtr revIDLastSave="0" documentId="13_ncr:1_{D565AB16-DBD7-4089-ACB9-E76F2C98387A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Preliminary Financials" sheetId="1" r:id="rId1"/>
    <sheet name="Funding-Target vs Position" sheetId="3" r:id="rId2"/>
    <sheet name="Assessment Rates" sheetId="4" r:id="rId3"/>
  </sheets>
  <externalReferences>
    <externalReference r:id="rId4"/>
    <externalReference r:id="rId5"/>
  </externalReferences>
  <definedNames>
    <definedName name="_xlnm.Print_Area" localSheetId="2">'Assessment Rates'!$A$1:$N$44</definedName>
    <definedName name="_xlnm.Print_Area" localSheetId="1">'Funding-Target vs Position'!$B$1:$O$29</definedName>
    <definedName name="_xlnm.Print_Titles" localSheetId="1">'Funding-Target vs Position'!$B:$C</definedName>
    <definedName name="_xlnm.Print_Titles" localSheetId="0">'Preliminary Financials'!$3:$6</definedName>
    <definedName name="Prior_Yr">'Preliminary Financials'!$C$6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5" i="1"/>
  <c r="N38" i="4"/>
  <c r="M38" i="4"/>
  <c r="L38" i="4"/>
  <c r="K38" i="4"/>
  <c r="J38" i="4"/>
  <c r="I38" i="4"/>
  <c r="H38" i="4"/>
  <c r="G38" i="4"/>
  <c r="F38" i="4"/>
  <c r="E38" i="4"/>
  <c r="D38" i="4"/>
  <c r="C38" i="4"/>
  <c r="AG17" i="1" l="1"/>
  <c r="AD17" i="1"/>
  <c r="AA17" i="1"/>
  <c r="X17" i="1"/>
  <c r="U17" i="1"/>
  <c r="O17" i="1"/>
  <c r="Q17" i="1" s="1"/>
  <c r="J17" i="1"/>
  <c r="I17" i="1"/>
  <c r="H17" i="1"/>
  <c r="E17" i="1"/>
  <c r="N41" i="4"/>
  <c r="M41" i="4"/>
  <c r="L41" i="4"/>
  <c r="K41" i="4"/>
  <c r="J41" i="4"/>
  <c r="I41" i="4"/>
  <c r="H41" i="4"/>
  <c r="G41" i="4"/>
  <c r="F41" i="4"/>
  <c r="E41" i="4"/>
  <c r="D41" i="4"/>
  <c r="C41" i="4"/>
  <c r="AG16" i="1"/>
  <c r="AD16" i="1"/>
  <c r="AA16" i="1"/>
  <c r="X16" i="1"/>
  <c r="U16" i="1"/>
  <c r="O16" i="1"/>
  <c r="Q16" i="1" s="1"/>
  <c r="J16" i="1"/>
  <c r="I16" i="1"/>
  <c r="H16" i="1"/>
  <c r="E16" i="1"/>
  <c r="N36" i="4" l="1"/>
  <c r="M36" i="4"/>
  <c r="L36" i="4"/>
  <c r="K36" i="4"/>
  <c r="J36" i="4"/>
  <c r="I36" i="4"/>
  <c r="H36" i="4"/>
  <c r="G36" i="4"/>
  <c r="F36" i="4"/>
  <c r="E36" i="4"/>
  <c r="D36" i="4"/>
  <c r="C36" i="4"/>
  <c r="AG11" i="1" l="1"/>
  <c r="AD11" i="1"/>
  <c r="AA11" i="1"/>
  <c r="X11" i="1"/>
  <c r="U11" i="1"/>
  <c r="Q11" i="1"/>
  <c r="H11" i="1"/>
  <c r="E11" i="1"/>
  <c r="H18" i="1" l="1"/>
  <c r="E15" i="1" l="1"/>
  <c r="E7" i="1" l="1"/>
  <c r="E26" i="3" l="1"/>
  <c r="J5" i="1" l="1"/>
  <c r="I5" i="1"/>
  <c r="B23" i="4"/>
  <c r="B25" i="4"/>
  <c r="B3" i="4"/>
  <c r="B22" i="4"/>
  <c r="D31" i="4"/>
  <c r="O8" i="4"/>
  <c r="C36" i="3"/>
  <c r="C35" i="3"/>
  <c r="C34" i="3"/>
  <c r="C26" i="3"/>
  <c r="C30" i="3"/>
  <c r="C27" i="3"/>
  <c r="C29" i="3"/>
  <c r="B1" i="3"/>
  <c r="P5" i="1"/>
  <c r="D6" i="1"/>
  <c r="C31" i="4" l="1"/>
  <c r="K31" i="4" s="1"/>
  <c r="P8" i="4"/>
  <c r="N31" i="4"/>
  <c r="F31" i="4"/>
  <c r="H31" i="4"/>
  <c r="L31" i="4"/>
  <c r="J31" i="4"/>
  <c r="O11" i="4"/>
  <c r="M31" i="4" l="1"/>
  <c r="E31" i="4"/>
  <c r="I31" i="4"/>
  <c r="G31" i="4"/>
  <c r="C42" i="4"/>
  <c r="C40" i="4"/>
  <c r="C39" i="4"/>
  <c r="C37" i="4"/>
  <c r="C35" i="4"/>
  <c r="C34" i="4"/>
  <c r="C33" i="4"/>
  <c r="C32" i="4"/>
  <c r="F6" i="1"/>
  <c r="AE6" i="1"/>
  <c r="V6" i="1"/>
  <c r="L6" i="1"/>
  <c r="G6" i="1"/>
  <c r="M6" i="1"/>
  <c r="AF6" i="1"/>
  <c r="W6" i="1"/>
  <c r="J18" i="1"/>
  <c r="J14" i="1"/>
  <c r="J8" i="1"/>
  <c r="J12" i="1"/>
  <c r="F32" i="4"/>
  <c r="P11" i="4" l="1"/>
  <c r="O19" i="4"/>
  <c r="AG18" i="1"/>
  <c r="AG15" i="1"/>
  <c r="AG14" i="1"/>
  <c r="AG12" i="1"/>
  <c r="AG9" i="1"/>
  <c r="AG8" i="1"/>
  <c r="AG7" i="1"/>
  <c r="I9" i="1"/>
  <c r="I10" i="1"/>
  <c r="I12" i="1"/>
  <c r="I14" i="1"/>
  <c r="I18" i="1"/>
  <c r="I8" i="1"/>
  <c r="N8" i="4"/>
  <c r="M8" i="4"/>
  <c r="L8" i="4"/>
  <c r="K8" i="4"/>
  <c r="J8" i="4"/>
  <c r="I8" i="4"/>
  <c r="H8" i="4"/>
  <c r="G8" i="4"/>
  <c r="F8" i="4"/>
  <c r="E8" i="4"/>
  <c r="I53" i="3"/>
  <c r="F53" i="3"/>
  <c r="H53" i="3"/>
  <c r="E53" i="3"/>
  <c r="D53" i="3"/>
  <c r="I52" i="3"/>
  <c r="H52" i="3"/>
  <c r="F52" i="3"/>
  <c r="E52" i="3"/>
  <c r="D52" i="3"/>
  <c r="I51" i="3"/>
  <c r="F51" i="3"/>
  <c r="H51" i="3"/>
  <c r="E51" i="3"/>
  <c r="D51" i="3"/>
  <c r="I50" i="3"/>
  <c r="H50" i="3"/>
  <c r="F50" i="3"/>
  <c r="G50" i="3" s="1"/>
  <c r="E50" i="3"/>
  <c r="D50" i="3"/>
  <c r="I49" i="3"/>
  <c r="G49" i="3" s="1"/>
  <c r="F49" i="3"/>
  <c r="H49" i="3"/>
  <c r="E49" i="3"/>
  <c r="D49" i="3"/>
  <c r="I48" i="3"/>
  <c r="G48" i="3" s="1"/>
  <c r="H48" i="3"/>
  <c r="F48" i="3"/>
  <c r="E48" i="3"/>
  <c r="I47" i="3"/>
  <c r="F47" i="3"/>
  <c r="H47" i="3"/>
  <c r="E47" i="3"/>
  <c r="D47" i="3"/>
  <c r="I46" i="3"/>
  <c r="H46" i="3"/>
  <c r="F46" i="3"/>
  <c r="E46" i="3"/>
  <c r="D46" i="3"/>
  <c r="I45" i="3"/>
  <c r="F45" i="3"/>
  <c r="H45" i="3"/>
  <c r="E45" i="3"/>
  <c r="D45" i="3"/>
  <c r="I44" i="3"/>
  <c r="H44" i="3"/>
  <c r="F44" i="3"/>
  <c r="G44" i="3" s="1"/>
  <c r="E44" i="3"/>
  <c r="D44" i="3"/>
  <c r="I43" i="3"/>
  <c r="F43" i="3"/>
  <c r="H43" i="3"/>
  <c r="E43" i="3"/>
  <c r="D43" i="3"/>
  <c r="I42" i="3"/>
  <c r="G42" i="3" s="1"/>
  <c r="H42" i="3"/>
  <c r="F42" i="3"/>
  <c r="E42" i="3"/>
  <c r="D42" i="3"/>
  <c r="N42" i="4"/>
  <c r="M42" i="4"/>
  <c r="L42" i="4"/>
  <c r="K42" i="4"/>
  <c r="J42" i="4"/>
  <c r="I42" i="4"/>
  <c r="H42" i="4"/>
  <c r="G42" i="4"/>
  <c r="F42" i="4"/>
  <c r="E42" i="4"/>
  <c r="D42" i="4"/>
  <c r="N40" i="4"/>
  <c r="M40" i="4"/>
  <c r="L40" i="4"/>
  <c r="J40" i="4"/>
  <c r="I40" i="4"/>
  <c r="H40" i="4"/>
  <c r="F40" i="4"/>
  <c r="E40" i="4"/>
  <c r="D40" i="4"/>
  <c r="N39" i="4"/>
  <c r="M39" i="4"/>
  <c r="L39" i="4"/>
  <c r="K39" i="4"/>
  <c r="J39" i="4"/>
  <c r="I39" i="4"/>
  <c r="H39" i="4"/>
  <c r="G39" i="4"/>
  <c r="F39" i="4"/>
  <c r="E39" i="4"/>
  <c r="D39" i="4"/>
  <c r="N37" i="4"/>
  <c r="M37" i="4"/>
  <c r="L37" i="4"/>
  <c r="K37" i="4"/>
  <c r="J37" i="4"/>
  <c r="I37" i="4"/>
  <c r="H37" i="4"/>
  <c r="G37" i="4"/>
  <c r="F37" i="4"/>
  <c r="E37" i="4"/>
  <c r="D37" i="4"/>
  <c r="N35" i="4"/>
  <c r="M35" i="4"/>
  <c r="L35" i="4"/>
  <c r="K35" i="4"/>
  <c r="J35" i="4"/>
  <c r="I35" i="4"/>
  <c r="H35" i="4"/>
  <c r="G35" i="4"/>
  <c r="F35" i="4"/>
  <c r="E35" i="4"/>
  <c r="D35" i="4"/>
  <c r="N34" i="4"/>
  <c r="M34" i="4"/>
  <c r="L34" i="4"/>
  <c r="K34" i="4"/>
  <c r="J34" i="4"/>
  <c r="I34" i="4"/>
  <c r="H34" i="4"/>
  <c r="G34" i="4"/>
  <c r="F34" i="4"/>
  <c r="E34" i="4"/>
  <c r="D34" i="4"/>
  <c r="N33" i="4"/>
  <c r="M33" i="4"/>
  <c r="L33" i="4"/>
  <c r="K33" i="4"/>
  <c r="J33" i="4"/>
  <c r="I33" i="4"/>
  <c r="H33" i="4"/>
  <c r="G33" i="4"/>
  <c r="F33" i="4"/>
  <c r="E33" i="4"/>
  <c r="D33" i="4"/>
  <c r="N32" i="4"/>
  <c r="M32" i="4"/>
  <c r="L32" i="4"/>
  <c r="K32" i="4"/>
  <c r="J32" i="4"/>
  <c r="I32" i="4"/>
  <c r="H32" i="4"/>
  <c r="G32" i="4"/>
  <c r="E32" i="4"/>
  <c r="D32" i="4"/>
  <c r="P20" i="4"/>
  <c r="O20" i="4"/>
  <c r="P19" i="4"/>
  <c r="P18" i="4"/>
  <c r="O18" i="4"/>
  <c r="P17" i="4"/>
  <c r="K40" i="4"/>
  <c r="G40" i="4"/>
  <c r="P16" i="4"/>
  <c r="O16" i="4"/>
  <c r="O15" i="4"/>
  <c r="P14" i="4"/>
  <c r="O14" i="4"/>
  <c r="P13" i="4"/>
  <c r="O13" i="4"/>
  <c r="P12" i="4"/>
  <c r="O12" i="4"/>
  <c r="P10" i="4"/>
  <c r="O10" i="4"/>
  <c r="P9" i="4"/>
  <c r="O9" i="4"/>
  <c r="AD18" i="1"/>
  <c r="AA18" i="1"/>
  <c r="X18" i="1"/>
  <c r="U18" i="1"/>
  <c r="O18" i="1"/>
  <c r="Q18" i="1" s="1"/>
  <c r="E18" i="1"/>
  <c r="AD15" i="1"/>
  <c r="AA15" i="1"/>
  <c r="X15" i="1"/>
  <c r="U15" i="1"/>
  <c r="Q15" i="1"/>
  <c r="H15" i="1"/>
  <c r="AD14" i="1"/>
  <c r="AA14" i="1"/>
  <c r="X14" i="1"/>
  <c r="U14" i="1"/>
  <c r="O14" i="1"/>
  <c r="Q14" i="1" s="1"/>
  <c r="H14" i="1"/>
  <c r="E14" i="1"/>
  <c r="AD12" i="1"/>
  <c r="AA12" i="1"/>
  <c r="X12" i="1"/>
  <c r="U12" i="1"/>
  <c r="O12" i="1"/>
  <c r="Q12" i="1" s="1"/>
  <c r="H12" i="1"/>
  <c r="E12" i="1"/>
  <c r="AG10" i="1"/>
  <c r="AD10" i="1"/>
  <c r="AA10" i="1"/>
  <c r="X10" i="1"/>
  <c r="U10" i="1"/>
  <c r="Q10" i="1"/>
  <c r="H10" i="1"/>
  <c r="E10" i="1"/>
  <c r="AD9" i="1"/>
  <c r="AA9" i="1"/>
  <c r="X9" i="1"/>
  <c r="U9" i="1"/>
  <c r="Q9" i="1"/>
  <c r="H9" i="1"/>
  <c r="E9" i="1"/>
  <c r="AD8" i="1"/>
  <c r="AA8" i="1"/>
  <c r="X8" i="1"/>
  <c r="U8" i="1"/>
  <c r="O8" i="1"/>
  <c r="Q8" i="1" s="1"/>
  <c r="H8" i="1"/>
  <c r="E8" i="1"/>
  <c r="AD7" i="1"/>
  <c r="AA7" i="1"/>
  <c r="X7" i="1"/>
  <c r="U7" i="1"/>
  <c r="Q7" i="1"/>
  <c r="H7" i="1"/>
  <c r="AC6" i="1"/>
  <c r="AB6" i="1"/>
  <c r="Z6" i="1"/>
  <c r="Y6" i="1"/>
  <c r="S6" i="1"/>
  <c r="T6" i="1"/>
  <c r="O17" i="4"/>
  <c r="P15" i="4"/>
  <c r="G45" i="3" l="1"/>
  <c r="G51" i="3"/>
  <c r="G53" i="3"/>
  <c r="G52" i="3"/>
  <c r="G43" i="3"/>
  <c r="G47" i="3"/>
  <c r="G46" i="3"/>
  <c r="D48" i="3"/>
</calcChain>
</file>

<file path=xl/sharedStrings.xml><?xml version="1.0" encoding="utf-8"?>
<sst xmlns="http://schemas.openxmlformats.org/spreadsheetml/2006/main" count="159" uniqueCount="67">
  <si>
    <t>AB</t>
  </si>
  <si>
    <t>MB</t>
  </si>
  <si>
    <t>NB</t>
  </si>
  <si>
    <t>NL</t>
  </si>
  <si>
    <t>NT/NU</t>
  </si>
  <si>
    <t>YT</t>
  </si>
  <si>
    <t>Funded Position</t>
  </si>
  <si>
    <t>Assessment Rate</t>
  </si>
  <si>
    <t>Admin</t>
  </si>
  <si>
    <t>Û</t>
  </si>
  <si>
    <t>NS</t>
  </si>
  <si>
    <t>OD Liability</t>
  </si>
  <si>
    <t>BC</t>
  </si>
  <si>
    <t>ON</t>
  </si>
  <si>
    <t>PE</t>
  </si>
  <si>
    <t>QC</t>
  </si>
  <si>
    <t>SK</t>
  </si>
  <si>
    <t>Preliminary Financials</t>
  </si>
  <si>
    <t>Minimum</t>
  </si>
  <si>
    <t>Maximum</t>
  </si>
  <si>
    <t>Target</t>
  </si>
  <si>
    <t>Funding target and position</t>
  </si>
  <si>
    <t>Target Range</t>
  </si>
  <si>
    <t>▲</t>
  </si>
  <si>
    <t>▀</t>
  </si>
  <si>
    <t>▄</t>
  </si>
  <si>
    <t>X</t>
  </si>
  <si>
    <t>Overall Provisional Assessment Rate</t>
  </si>
  <si>
    <t>Rate Components</t>
  </si>
  <si>
    <t>Compensation</t>
  </si>
  <si>
    <t>OH&amp;S</t>
  </si>
  <si>
    <t>Amortization of Surplus / Deficits</t>
  </si>
  <si>
    <t>Other</t>
  </si>
  <si>
    <t>See Funding Tab for Additional</t>
  </si>
  <si>
    <t>More</t>
  </si>
  <si>
    <t>See Assessment Tab for Breakdown</t>
  </si>
  <si>
    <t>Below figures are used to populate chart from values above. Please do not change values below.</t>
  </si>
  <si>
    <t>O</t>
  </si>
  <si>
    <t xml:space="preserve">Instructions: </t>
  </si>
  <si>
    <t>Income (Loss) and OCI</t>
  </si>
  <si>
    <t>TBD</t>
  </si>
  <si>
    <t>(No data entry required - information calculated from data above)</t>
  </si>
  <si>
    <t>Assessment Rates - Breakdown of Provisional Rate Components</t>
  </si>
  <si>
    <t>% of total benefit liability
(%)</t>
  </si>
  <si>
    <t>Real Rate 
(%)</t>
  </si>
  <si>
    <t>Nominal Rate
(%)</t>
  </si>
  <si>
    <t>Discount Rate
(%)</t>
  </si>
  <si>
    <t>Addition Check</t>
  </si>
  <si>
    <t>-</t>
  </si>
  <si>
    <t>* Input forecast. If not available, please input budget.</t>
  </si>
  <si>
    <t>Update Maximum, Target and Minimum</t>
  </si>
  <si>
    <t>2020 IFRS</t>
  </si>
  <si>
    <t>2020 NON-IFRS</t>
  </si>
  <si>
    <t>Surplus Distributions / Premium Rebates 
($ Millions)</t>
  </si>
  <si>
    <t>Other Comprehensive Income (Loss)
($ Millions)</t>
  </si>
  <si>
    <r>
      <t xml:space="preserve">Income (Loss)
</t>
    </r>
    <r>
      <rPr>
        <b/>
        <sz val="9"/>
        <color theme="1"/>
        <rFont val="Arial"/>
        <family val="2"/>
      </rPr>
      <t>before</t>
    </r>
    <r>
      <rPr>
        <sz val="9"/>
        <color theme="1"/>
        <rFont val="Arial"/>
        <family val="2"/>
      </rPr>
      <t xml:space="preserve"> OCI
($ Millions)</t>
    </r>
  </si>
  <si>
    <t>Discount Rate - Accident Fund</t>
  </si>
  <si>
    <r>
      <rPr>
        <b/>
        <i/>
        <u/>
        <sz val="11"/>
        <color theme="1" tint="0.249977111117893"/>
        <rFont val="Calibri"/>
        <family val="2"/>
        <scheme val="minor"/>
      </rPr>
      <t>NON-IFRS</t>
    </r>
    <r>
      <rPr>
        <i/>
        <u/>
        <sz val="11"/>
        <color theme="1" tint="0.249977111117893"/>
        <rFont val="Calibri"/>
        <family val="2"/>
        <scheme val="minor"/>
      </rPr>
      <t xml:space="preserve"> ratio, if applicable:</t>
    </r>
  </si>
  <si>
    <t xml:space="preserve"> …..the following jurisdictions entered NON-IFRS measures previously:  QC, ON, SK, BC</t>
  </si>
  <si>
    <t>na</t>
  </si>
  <si>
    <t>Discount Rate - Registered Pension Plan Valuation</t>
  </si>
  <si>
    <t>N/A</t>
  </si>
  <si>
    <t>n/a</t>
  </si>
  <si>
    <t>WCB  NS - actual results not released until June; significan loss; significan decline in funded ratio,</t>
  </si>
  <si>
    <t>NA</t>
  </si>
  <si>
    <t>YOY% change:
2021 actual/
2020 actual;
2022 A / 2021 A</t>
  </si>
  <si>
    <t>2021 Actutal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</si>
</sst>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164" formatCode="0.0%"/>
    <numFmt numFmtId="165" formatCode="&quot;$&quot;#,##0.00"/>
    <numFmt numFmtId="166" formatCode="&quot;$&quot;#,##0.0;[Red]\(&quot;$&quot;#,##0.0\);&quot;-&quot;"/>
    <numFmt numFmtId="167" formatCode="&quot;$&quot;#,##0.00;\-&quot;$&quot;#,##0.00;&quot;-&quot;"/>
    <numFmt numFmtId="168" formatCode="&quot;$&quot;#,##0.00;[Red]\(&quot;$&quot;#,##0.00\);&quot;-&quot;"/>
  </numFmts>
  <fonts count="39" x14ac:knownFonts="1">
    <font>
      <sz val="11"/>
      <color theme="1"/>
      <name val="Verdana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5"/>
      <color theme="3"/>
      <name val="Verdana"/>
      <family val="2"/>
    </font>
    <font>
      <sz val="11"/>
      <color theme="1"/>
      <name val="Arial"/>
      <family val="2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sz val="11"/>
      <color indexed="8"/>
      <name val="Verdana"/>
      <family val="2"/>
    </font>
    <font>
      <sz val="18"/>
      <color theme="3"/>
      <name val="Calibri Light"/>
      <family val="2"/>
      <scheme val="major"/>
    </font>
    <font>
      <sz val="11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0.79998168889431442"/>
      <name val="Arial"/>
      <family val="2"/>
    </font>
    <font>
      <sz val="9"/>
      <color theme="0"/>
      <name val="Arial"/>
      <family val="2"/>
    </font>
    <font>
      <sz val="11"/>
      <color rgb="FF92D050"/>
      <name val="Arial"/>
      <family val="2"/>
    </font>
    <font>
      <sz val="11"/>
      <color theme="1" tint="0.249977111117893"/>
      <name val="Calibri"/>
      <family val="2"/>
      <scheme val="minor"/>
    </font>
    <font>
      <sz val="10"/>
      <color theme="1"/>
      <name val="Symbol"/>
      <family val="1"/>
      <charset val="2"/>
    </font>
    <font>
      <sz val="18"/>
      <name val="Calibri Light"/>
      <family val="2"/>
      <scheme val="major"/>
    </font>
    <font>
      <b/>
      <sz val="11"/>
      <color theme="3"/>
      <name val="Arial"/>
      <family val="2"/>
    </font>
    <font>
      <u/>
      <sz val="11"/>
      <color theme="10"/>
      <name val="Verdana"/>
      <family val="2"/>
    </font>
    <font>
      <u/>
      <sz val="9"/>
      <color theme="10"/>
      <name val="Arial"/>
      <family val="2"/>
    </font>
    <font>
      <i/>
      <sz val="9"/>
      <color theme="1"/>
      <name val="Arial"/>
      <family val="2"/>
    </font>
    <font>
      <sz val="11"/>
      <color theme="0" tint="-0.249977111117893"/>
      <name val="Verdana"/>
      <family val="2"/>
    </font>
    <font>
      <b/>
      <sz val="10"/>
      <color theme="1"/>
      <name val="Arial"/>
      <family val="2"/>
    </font>
    <font>
      <b/>
      <sz val="11"/>
      <color rgb="FF7030A0"/>
      <name val="Arial"/>
      <family val="2"/>
    </font>
    <font>
      <b/>
      <sz val="11"/>
      <color rgb="FF00B0F0"/>
      <name val="Arial"/>
      <family val="2"/>
    </font>
    <font>
      <sz val="11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 tint="0.249977111117893"/>
      <name val="Calibri"/>
      <family val="2"/>
      <scheme val="minor"/>
    </font>
    <font>
      <b/>
      <sz val="9"/>
      <color theme="3"/>
      <name val="Arial"/>
      <family val="2"/>
    </font>
    <font>
      <u/>
      <sz val="8"/>
      <color theme="10"/>
      <name val="Verdana"/>
      <family val="2"/>
    </font>
    <font>
      <b/>
      <i/>
      <sz val="9"/>
      <color theme="3"/>
      <name val="Arial"/>
      <family val="2"/>
    </font>
    <font>
      <b/>
      <i/>
      <sz val="11"/>
      <color theme="1" tint="0.249977111117893"/>
      <name val="Calibri"/>
      <family val="2"/>
      <scheme val="minor"/>
    </font>
    <font>
      <b/>
      <i/>
      <u/>
      <sz val="11"/>
      <color theme="1" tint="0.249977111117893"/>
      <name val="Calibri"/>
      <family val="2"/>
      <scheme val="minor"/>
    </font>
    <font>
      <i/>
      <u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8" tint="0.39985351115451523"/>
      </left>
      <right/>
      <top style="medium">
        <color theme="8" tint="0.39985351115451523"/>
      </top>
      <bottom/>
      <diagonal/>
    </border>
    <border>
      <left style="thin">
        <color theme="8" tint="0.39991454817346722"/>
      </left>
      <right style="medium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medium">
        <color theme="8" tint="0.39991454817346722"/>
      </bottom>
      <diagonal/>
    </border>
    <border>
      <left/>
      <right/>
      <top/>
      <bottom style="thin">
        <color theme="8" tint="0.39991454817346722"/>
      </bottom>
      <diagonal/>
    </border>
    <border>
      <left/>
      <right/>
      <top style="medium">
        <color theme="8" tint="0.39985351115451523"/>
      </top>
      <bottom/>
      <diagonal/>
    </border>
    <border>
      <left style="medium">
        <color theme="8" tint="0.39985351115451523"/>
      </left>
      <right/>
      <top/>
      <bottom style="thin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medium">
        <color theme="8" tint="0.39991454817346722"/>
      </left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91454817346722"/>
      </left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 style="medium">
        <color theme="8" tint="0.39985351115451523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39985351115451523"/>
      </top>
      <bottom/>
      <diagonal/>
    </border>
    <border>
      <left style="medium">
        <color theme="8" tint="0.39985351115451523"/>
      </left>
      <right style="thin">
        <color theme="8" tint="0.59996337778862885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/>
      <right/>
      <top/>
      <bottom style="medium">
        <color theme="4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39985351115451523"/>
      </left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39991454817346722"/>
      </top>
      <bottom style="thin">
        <color theme="8" tint="0.79998168889431442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/>
      <bottom style="thin">
        <color theme="8" tint="0.79998168889431442"/>
      </bottom>
      <diagonal/>
    </border>
    <border>
      <left style="thin">
        <color theme="8" tint="0.39991454817346722"/>
      </left>
      <right style="medium">
        <color theme="8" tint="0.39994506668294322"/>
      </right>
      <top style="thin">
        <color theme="8" tint="0.79998168889431442"/>
      </top>
      <bottom/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79998168889431442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/>
      <diagonal/>
    </border>
    <border>
      <left/>
      <right style="medium">
        <color theme="8" tint="0.39982299264503923"/>
      </right>
      <top style="medium">
        <color theme="8" tint="0.39985351115451523"/>
      </top>
      <bottom/>
      <diagonal/>
    </border>
    <border>
      <left/>
      <right style="medium">
        <color theme="8" tint="0.39982299264503923"/>
      </right>
      <top/>
      <bottom style="thin">
        <color theme="8" tint="0.39991454817346722"/>
      </bottom>
      <diagonal/>
    </border>
    <border>
      <left/>
      <right style="thin">
        <color theme="8" tint="0.59996337778862885"/>
      </right>
      <top style="medium">
        <color theme="8" tint="0.39994506668294322"/>
      </top>
      <bottom style="thin">
        <color theme="8" tint="0.39991454817346722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thin">
        <color theme="8" tint="0.39991454817346722"/>
      </bottom>
      <diagonal/>
    </border>
    <border>
      <left/>
      <right style="thin">
        <color theme="8" tint="0.59996337778862885"/>
      </right>
      <top/>
      <bottom style="thin">
        <color theme="8" tint="0.79998168889431442"/>
      </bottom>
      <diagonal/>
    </border>
    <border>
      <left/>
      <right style="thin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theme="8" tint="0.59996337778862885"/>
      </right>
      <top style="thin">
        <color theme="8" tint="0.79998168889431442"/>
      </top>
      <bottom/>
      <diagonal/>
    </border>
    <border>
      <left/>
      <right style="thin">
        <color theme="8" tint="0.59996337778862885"/>
      </right>
      <top/>
      <bottom style="medium">
        <color theme="8" tint="0.39991454817346722"/>
      </bottom>
      <diagonal/>
    </border>
    <border>
      <left style="thin">
        <color theme="8" tint="0.59996337778862885"/>
      </left>
      <right style="thin">
        <color theme="8" tint="0.59996337778862885"/>
      </right>
      <top style="medium">
        <color theme="8" tint="0.59996337778862885"/>
      </top>
      <bottom style="thin">
        <color theme="8" tint="0.79998168889431442"/>
      </bottom>
      <diagonal/>
    </border>
    <border>
      <left style="medium">
        <color theme="8" tint="0.39991454817346722"/>
      </left>
      <right/>
      <top/>
      <bottom style="thin">
        <color theme="8" tint="0.39991454817346722"/>
      </bottom>
      <diagonal/>
    </border>
    <border>
      <left style="medium">
        <color theme="8" tint="0.39991454817346722"/>
      </left>
      <right/>
      <top style="medium">
        <color theme="8" tint="0.39988402966399123"/>
      </top>
      <bottom/>
      <diagonal/>
    </border>
    <border>
      <left/>
      <right/>
      <top style="medium">
        <color theme="8" tint="0.39988402966399123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8" tint="0.59996337778862885"/>
      </left>
      <right/>
      <top/>
      <bottom style="thin">
        <color theme="8" tint="0.79998168889431442"/>
      </bottom>
      <diagonal/>
    </border>
    <border>
      <left style="thin">
        <color theme="8" tint="0.59996337778862885"/>
      </left>
      <right/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/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/>
      <bottom style="medium">
        <color theme="8" tint="0.59996337778862885"/>
      </bottom>
      <diagonal/>
    </border>
    <border>
      <left/>
      <right/>
      <top style="medium">
        <color theme="8" tint="0.39994506668294322"/>
      </top>
      <bottom/>
      <diagonal/>
    </border>
    <border>
      <left style="medium">
        <color theme="8" tint="0.39994506668294322"/>
      </left>
      <right/>
      <top/>
      <bottom/>
      <diagonal/>
    </border>
    <border>
      <left style="medium">
        <color theme="8" tint="0.39994506668294322"/>
      </left>
      <right/>
      <top style="medium">
        <color theme="8" tint="0.39991454817346722"/>
      </top>
      <bottom/>
      <diagonal/>
    </border>
    <border>
      <left/>
      <right/>
      <top style="medium">
        <color theme="8" tint="0.39991454817346722"/>
      </top>
      <bottom/>
      <diagonal/>
    </border>
    <border>
      <left style="medium">
        <color theme="8" tint="0.39994506668294322"/>
      </left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/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8" tint="0.39988402966399123"/>
      </left>
      <right/>
      <top style="medium">
        <color theme="8" tint="0.39985351115451523"/>
      </top>
      <bottom style="medium">
        <color theme="8" tint="0.39985351115451523"/>
      </bottom>
      <diagonal/>
    </border>
    <border>
      <left/>
      <right/>
      <top style="medium">
        <color theme="8" tint="0.39985351115451523"/>
      </top>
      <bottom style="medium">
        <color theme="8" tint="0.39985351115451523"/>
      </bottom>
      <diagonal/>
    </border>
    <border>
      <left/>
      <right/>
      <top/>
      <bottom style="medium">
        <color theme="8" tint="0.39991454817346722"/>
      </bottom>
      <diagonal/>
    </border>
    <border>
      <left style="medium">
        <color theme="8" tint="0.39988402966399123"/>
      </left>
      <right/>
      <top style="medium">
        <color theme="8" tint="0.39988402966399123"/>
      </top>
      <bottom style="medium">
        <color theme="8" tint="0.39985351115451523"/>
      </bottom>
      <diagonal/>
    </border>
    <border>
      <left/>
      <right/>
      <top style="medium">
        <color theme="8" tint="0.39988402966399123"/>
      </top>
      <bottom style="medium">
        <color theme="8" tint="0.39985351115451523"/>
      </bottom>
      <diagonal/>
    </border>
    <border>
      <left style="medium">
        <color theme="8" tint="0.39991454817346722"/>
      </left>
      <right/>
      <top/>
      <bottom/>
      <diagonal/>
    </border>
    <border>
      <left style="medium">
        <color theme="8" tint="0.39991454817346722"/>
      </left>
      <right/>
      <top style="medium">
        <color theme="8" tint="0.39994506668294322"/>
      </top>
      <bottom/>
      <diagonal/>
    </border>
    <border>
      <left style="medium">
        <color theme="8" tint="0.39991454817346722"/>
      </left>
      <right/>
      <top/>
      <bottom style="medium">
        <color theme="8" tint="0.39991454817346722"/>
      </bottom>
      <diagonal/>
    </border>
    <border>
      <left style="medium">
        <color theme="8" tint="0.39985351115451523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39985351115451523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medium">
        <color theme="8" tint="0.39985351115451523"/>
      </right>
      <top style="medium">
        <color theme="8" tint="0.39985351115451523"/>
      </top>
      <bottom/>
      <diagonal/>
    </border>
    <border>
      <left/>
      <right style="medium">
        <color theme="8" tint="0.39985351115451523"/>
      </right>
      <top/>
      <bottom style="thin">
        <color theme="8" tint="0.39991454817346722"/>
      </bottom>
      <diagonal/>
    </border>
    <border>
      <left style="thin">
        <color theme="8" tint="0.59996337778862885"/>
      </left>
      <right style="medium">
        <color theme="8" tint="0.59996337778862885"/>
      </right>
      <top style="medium">
        <color theme="8" tint="0.59996337778862885"/>
      </top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medium">
        <color theme="8" tint="0.59996337778862885"/>
      </right>
      <top/>
      <bottom style="medium">
        <color theme="8" tint="0.39991454817346722"/>
      </bottom>
      <diagonal/>
    </border>
    <border>
      <left/>
      <right style="medium">
        <color theme="8" tint="0.39985351115451523"/>
      </right>
      <top style="medium">
        <color theme="8" tint="0.39988402966399123"/>
      </top>
      <bottom/>
      <diagonal/>
    </border>
    <border>
      <left style="thin">
        <color theme="8" tint="0.59996337778862885"/>
      </left>
      <right style="medium">
        <color theme="8" tint="0.39985351115451523"/>
      </right>
      <top/>
      <bottom style="medium">
        <color theme="8" tint="0.59996337778862885"/>
      </bottom>
      <diagonal/>
    </border>
    <border>
      <left/>
      <right style="thick">
        <color theme="8" tint="0.39991454817346722"/>
      </right>
      <top style="medium">
        <color theme="8" tint="0.39991454817346722"/>
      </top>
      <bottom/>
      <diagonal/>
    </border>
    <border>
      <left/>
      <right style="thick">
        <color theme="8" tint="0.39991454817346722"/>
      </right>
      <top/>
      <bottom/>
      <diagonal/>
    </border>
    <border>
      <left/>
      <right style="thick">
        <color theme="8" tint="0.39991454817346722"/>
      </right>
      <top style="medium">
        <color theme="8" tint="0.39988402966399123"/>
      </top>
      <bottom style="medium">
        <color theme="8" tint="0.39985351115451523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3999145481734672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39991454817346722"/>
      </right>
      <top/>
      <bottom style="medium">
        <color theme="8" tint="0.39991454817346722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medium">
        <color theme="8" tint="0.59996337778862885"/>
      </bottom>
      <diagonal/>
    </border>
    <border>
      <left/>
      <right style="medium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94506668294322"/>
      </left>
      <right/>
      <top style="thin">
        <color theme="8" tint="0.39991454817346722"/>
      </top>
      <bottom style="thin">
        <color theme="8" tint="0.39991454817346722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/>
      <right style="medium">
        <color theme="8" tint="0.39994506668294322"/>
      </right>
      <top style="thin">
        <color theme="8" tint="0.39991454817346722"/>
      </top>
      <bottom style="thin">
        <color theme="8" tint="0.39991454817346722"/>
      </bottom>
      <diagonal/>
    </border>
    <border>
      <left style="medium">
        <color theme="8" tint="0.39985351115451523"/>
      </left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medium">
        <color theme="8" tint="0.39994506668294322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thin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thin">
        <color theme="8" tint="0.59996337778862885"/>
      </left>
      <right/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59996337778862885"/>
      </right>
      <top style="thin">
        <color theme="8" tint="0.39991454817346722"/>
      </top>
      <bottom style="thin">
        <color theme="8" tint="0.39982299264503923"/>
      </bottom>
      <diagonal/>
    </border>
    <border>
      <left style="medium">
        <color theme="8" tint="0.39982299264503923"/>
      </left>
      <right/>
      <top style="medium">
        <color theme="8" tint="0.39985351115451523"/>
      </top>
      <bottom/>
      <diagonal/>
    </border>
    <border>
      <left style="medium">
        <color theme="8" tint="0.39982299264503923"/>
      </left>
      <right/>
      <top/>
      <bottom style="thin">
        <color theme="8" tint="0.39991454817346722"/>
      </bottom>
      <diagonal/>
    </border>
    <border>
      <left/>
      <right style="medium">
        <color theme="8" tint="0.39979247413556324"/>
      </right>
      <top style="medium">
        <color theme="8" tint="0.39985351115451523"/>
      </top>
      <bottom/>
      <diagonal/>
    </border>
    <border>
      <left/>
      <right style="medium">
        <color theme="8" tint="0.39979247413556324"/>
      </right>
      <top/>
      <bottom style="thin">
        <color theme="8" tint="0.39991454817346722"/>
      </bottom>
      <diagonal/>
    </border>
    <border>
      <left/>
      <right style="medium">
        <color theme="8" tint="0.39991454817346722"/>
      </right>
      <top style="thin">
        <color theme="8" tint="0.39991454817346722"/>
      </top>
      <bottom style="thin">
        <color theme="8" tint="0.39982299264503923"/>
      </bottom>
      <diagonal/>
    </border>
    <border>
      <left/>
      <right style="medium">
        <color theme="8" tint="0.39982299264503923"/>
      </right>
      <top style="medium">
        <color theme="8" tint="0.39982299264503923"/>
      </top>
      <bottom style="medium">
        <color theme="8" tint="0.39985351115451523"/>
      </bottom>
      <diagonal/>
    </border>
    <border>
      <left/>
      <right/>
      <top style="medium">
        <color theme="8" tint="0.39982299264503923"/>
      </top>
      <bottom style="medium">
        <color theme="8" tint="0.39985351115451523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39982299264503923"/>
      </top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/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59996337778862885"/>
      </left>
      <right style="thick">
        <color theme="8" tint="0.59996337778862885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 style="thin">
        <color theme="8" tint="0.59996337778862885"/>
      </right>
      <top style="thin">
        <color theme="8" tint="0.79998168889431442"/>
      </top>
      <bottom style="medium">
        <color theme="8" tint="0.39991454817346722"/>
      </bottom>
      <diagonal/>
    </border>
    <border>
      <left style="thin">
        <color theme="8" tint="0.59996337778862885"/>
      </left>
      <right style="thick">
        <color theme="8" tint="0.59996337778862885"/>
      </right>
      <top style="medium">
        <color theme="8" tint="0.39985351115451523"/>
      </top>
      <bottom style="medium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79998168889431442"/>
      </top>
      <bottom style="medium">
        <color theme="8" tint="0.39991454817346722"/>
      </bottom>
      <diagonal/>
    </border>
    <border>
      <left style="thin">
        <color theme="8" tint="0.59996337778862885"/>
      </left>
      <right style="medium">
        <color theme="8" tint="0.39985351115451523"/>
      </right>
      <top style="thin">
        <color theme="8" tint="0.79998168889431442"/>
      </top>
      <bottom style="medium">
        <color theme="8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59996337778862885"/>
      </left>
      <right style="medium">
        <color theme="8" tint="0.59996337778862885"/>
      </right>
      <top style="thin">
        <color theme="8" tint="0.79998168889431442"/>
      </top>
      <bottom/>
      <diagonal/>
    </border>
    <border>
      <left style="thick">
        <color theme="8" tint="0.399914548173467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1" applyNumberFormat="0" applyFill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83">
    <xf numFmtId="0" fontId="0" fillId="0" borderId="0" xfId="0"/>
    <xf numFmtId="0" fontId="4" fillId="0" borderId="0" xfId="0" applyFont="1"/>
    <xf numFmtId="0" fontId="4" fillId="0" borderId="0" xfId="0" quotePrefix="1" applyFont="1"/>
    <xf numFmtId="0" fontId="6" fillId="0" borderId="0" xfId="0" applyFont="1"/>
    <xf numFmtId="164" fontId="0" fillId="0" borderId="0" xfId="2" applyNumberFormat="1" applyFont="1"/>
    <xf numFmtId="0" fontId="11" fillId="0" borderId="0" xfId="0" applyFont="1"/>
    <xf numFmtId="0" fontId="11" fillId="0" borderId="22" xfId="0" applyFont="1" applyBorder="1" applyAlignment="1">
      <alignment horizontal="center" wrapText="1"/>
    </xf>
    <xf numFmtId="0" fontId="11" fillId="2" borderId="28" xfId="0" applyFont="1" applyFill="1" applyBorder="1" applyAlignment="1">
      <alignment vertical="center"/>
    </xf>
    <xf numFmtId="164" fontId="11" fillId="2" borderId="29" xfId="2" applyNumberFormat="1" applyFont="1" applyFill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vertical="center"/>
    </xf>
    <xf numFmtId="44" fontId="13" fillId="2" borderId="30" xfId="0" applyNumberFormat="1" applyFont="1" applyFill="1" applyBorder="1" applyAlignment="1">
      <alignment vertical="center"/>
    </xf>
    <xf numFmtId="0" fontId="11" fillId="0" borderId="24" xfId="0" applyFont="1" applyBorder="1" applyAlignment="1">
      <alignment vertical="center"/>
    </xf>
    <xf numFmtId="164" fontId="11" fillId="0" borderId="25" xfId="2" applyNumberFormat="1" applyFont="1" applyBorder="1" applyAlignment="1">
      <alignment horizontal="center" vertical="center" wrapText="1"/>
    </xf>
    <xf numFmtId="164" fontId="14" fillId="0" borderId="26" xfId="0" applyNumberFormat="1" applyFont="1" applyBorder="1" applyAlignment="1">
      <alignment vertical="center"/>
    </xf>
    <xf numFmtId="44" fontId="14" fillId="0" borderId="26" xfId="0" applyNumberFormat="1" applyFont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64" fontId="11" fillId="2" borderId="25" xfId="2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vertical="center"/>
    </xf>
    <xf numFmtId="0" fontId="11" fillId="2" borderId="32" xfId="0" applyFont="1" applyFill="1" applyBorder="1" applyAlignment="1">
      <alignment vertical="center"/>
    </xf>
    <xf numFmtId="164" fontId="11" fillId="2" borderId="33" xfId="2" applyNumberFormat="1" applyFont="1" applyFill="1" applyBorder="1" applyAlignment="1">
      <alignment horizontal="center" vertical="center" wrapText="1"/>
    </xf>
    <xf numFmtId="164" fontId="13" fillId="2" borderId="34" xfId="0" applyNumberFormat="1" applyFont="1" applyFill="1" applyBorder="1" applyAlignment="1">
      <alignment vertical="center"/>
    </xf>
    <xf numFmtId="0" fontId="11" fillId="0" borderId="31" xfId="0" applyFont="1" applyBorder="1" applyAlignment="1">
      <alignment vertical="center"/>
    </xf>
    <xf numFmtId="164" fontId="11" fillId="0" borderId="29" xfId="2" applyNumberFormat="1" applyFont="1" applyBorder="1" applyAlignment="1">
      <alignment horizontal="center" vertical="center" wrapText="1"/>
    </xf>
    <xf numFmtId="164" fontId="14" fillId="0" borderId="3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11" fillId="0" borderId="15" xfId="2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vertical="center"/>
    </xf>
    <xf numFmtId="44" fontId="14" fillId="0" borderId="4" xfId="0" applyNumberFormat="1" applyFont="1" applyBorder="1" applyAlignment="1">
      <alignment vertical="center"/>
    </xf>
    <xf numFmtId="0" fontId="17" fillId="0" borderId="14" xfId="0" applyFont="1" applyBorder="1" applyAlignment="1">
      <alignment textRotation="90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1" fillId="0" borderId="1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5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7" fontId="11" fillId="2" borderId="40" xfId="1" applyNumberFormat="1" applyFont="1" applyFill="1" applyBorder="1" applyAlignment="1">
      <alignment horizontal="center" vertical="center" wrapText="1"/>
    </xf>
    <xf numFmtId="7" fontId="11" fillId="0" borderId="41" xfId="1" applyNumberFormat="1" applyFont="1" applyBorder="1" applyAlignment="1">
      <alignment horizontal="center" vertical="center" wrapText="1"/>
    </xf>
    <xf numFmtId="165" fontId="11" fillId="2" borderId="40" xfId="1" applyNumberFormat="1" applyFont="1" applyFill="1" applyBorder="1" applyAlignment="1">
      <alignment horizontal="center" vertical="center" wrapText="1"/>
    </xf>
    <xf numFmtId="165" fontId="11" fillId="0" borderId="41" xfId="1" applyNumberFormat="1" applyFont="1" applyBorder="1" applyAlignment="1">
      <alignment horizontal="center" vertical="center" wrapText="1"/>
    </xf>
    <xf numFmtId="165" fontId="11" fillId="2" borderId="41" xfId="1" applyNumberFormat="1" applyFont="1" applyFill="1" applyBorder="1" applyAlignment="1">
      <alignment horizontal="center" vertical="center" wrapText="1"/>
    </xf>
    <xf numFmtId="165" fontId="11" fillId="2" borderId="42" xfId="1" applyNumberFormat="1" applyFont="1" applyFill="1" applyBorder="1" applyAlignment="1">
      <alignment horizontal="center" vertical="center" wrapText="1"/>
    </xf>
    <xf numFmtId="165" fontId="11" fillId="0" borderId="43" xfId="1" applyNumberFormat="1" applyFont="1" applyBorder="1" applyAlignment="1">
      <alignment horizontal="center" vertical="center" wrapText="1"/>
    </xf>
    <xf numFmtId="165" fontId="11" fillId="0" borderId="40" xfId="1" quotePrefix="1" applyNumberFormat="1" applyFont="1" applyBorder="1" applyAlignment="1">
      <alignment horizontal="center" vertical="center" wrapText="1"/>
    </xf>
    <xf numFmtId="164" fontId="21" fillId="2" borderId="30" xfId="8" applyNumberFormat="1" applyFont="1" applyFill="1" applyBorder="1" applyAlignment="1">
      <alignment horizontal="center" vertical="center" wrapText="1"/>
    </xf>
    <xf numFmtId="164" fontId="21" fillId="0" borderId="26" xfId="8" applyNumberFormat="1" applyFont="1" applyBorder="1" applyAlignment="1">
      <alignment horizontal="center" vertical="center" wrapText="1"/>
    </xf>
    <xf numFmtId="164" fontId="21" fillId="2" borderId="26" xfId="8" applyNumberFormat="1" applyFont="1" applyFill="1" applyBorder="1" applyAlignment="1">
      <alignment horizontal="center" vertical="center" wrapText="1"/>
    </xf>
    <xf numFmtId="164" fontId="21" fillId="0" borderId="4" xfId="8" applyNumberFormat="1" applyFont="1" applyBorder="1" applyAlignment="1">
      <alignment horizontal="center" vertical="center" wrapText="1"/>
    </xf>
    <xf numFmtId="0" fontId="16" fillId="0" borderId="0" xfId="0" applyFont="1"/>
    <xf numFmtId="164" fontId="16" fillId="0" borderId="0" xfId="2" applyNumberFormat="1" applyFont="1" applyFill="1" applyBorder="1" applyAlignment="1">
      <alignment horizontal="center"/>
    </xf>
    <xf numFmtId="164" fontId="16" fillId="0" borderId="0" xfId="2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3" applyFont="1" applyBorder="1" applyAlignment="1">
      <alignment horizontal="center"/>
    </xf>
    <xf numFmtId="0" fontId="23" fillId="0" borderId="0" xfId="0" applyFont="1"/>
    <xf numFmtId="164" fontId="23" fillId="0" borderId="0" xfId="2" applyNumberFormat="1" applyFont="1"/>
    <xf numFmtId="164" fontId="23" fillId="0" borderId="0" xfId="0" applyNumberFormat="1" applyFont="1"/>
    <xf numFmtId="0" fontId="11" fillId="0" borderId="83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/>
    <xf numFmtId="164" fontId="28" fillId="0" borderId="0" xfId="2" applyNumberFormat="1" applyFont="1" applyFill="1" applyBorder="1" applyAlignment="1">
      <alignment horizontal="center"/>
    </xf>
    <xf numFmtId="164" fontId="28" fillId="0" borderId="0" xfId="2" applyNumberFormat="1" applyFont="1" applyFill="1" applyAlignment="1">
      <alignment horizontal="center"/>
    </xf>
    <xf numFmtId="0" fontId="11" fillId="0" borderId="87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0" fontId="4" fillId="0" borderId="0" xfId="0" applyNumberFormat="1" applyFont="1"/>
    <xf numFmtId="0" fontId="4" fillId="0" borderId="104" xfId="0" applyFont="1" applyBorder="1"/>
    <xf numFmtId="0" fontId="4" fillId="0" borderId="103" xfId="0" applyFont="1" applyBorder="1"/>
    <xf numFmtId="9" fontId="10" fillId="2" borderId="29" xfId="1" applyNumberFormat="1" applyFont="1" applyFill="1" applyBorder="1" applyAlignment="1">
      <alignment horizontal="center" vertical="center" wrapText="1"/>
    </xf>
    <xf numFmtId="9" fontId="10" fillId="0" borderId="25" xfId="1" applyNumberFormat="1" applyFont="1" applyBorder="1" applyAlignment="1">
      <alignment horizontal="center" vertical="center" wrapText="1"/>
    </xf>
    <xf numFmtId="9" fontId="10" fillId="0" borderId="109" xfId="1" applyNumberFormat="1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wrapText="1"/>
    </xf>
    <xf numFmtId="44" fontId="33" fillId="2" borderId="40" xfId="8" applyNumberFormat="1" applyFont="1" applyFill="1" applyBorder="1" applyAlignment="1">
      <alignment horizontal="center" vertical="center"/>
    </xf>
    <xf numFmtId="44" fontId="33" fillId="0" borderId="41" xfId="8" applyNumberFormat="1" applyFont="1" applyBorder="1" applyAlignment="1">
      <alignment horizontal="center" vertical="center"/>
    </xf>
    <xf numFmtId="44" fontId="33" fillId="0" borderId="112" xfId="8" applyNumberFormat="1" applyFont="1" applyBorder="1" applyAlignment="1">
      <alignment horizontal="center" vertical="center"/>
    </xf>
    <xf numFmtId="9" fontId="10" fillId="0" borderId="107" xfId="1" quotePrefix="1" applyNumberFormat="1" applyFont="1" applyBorder="1" applyAlignment="1">
      <alignment horizontal="center" vertical="center" wrapText="1"/>
    </xf>
    <xf numFmtId="9" fontId="10" fillId="2" borderId="106" xfId="1" quotePrefix="1" applyNumberFormat="1" applyFont="1" applyFill="1" applyBorder="1" applyAlignment="1">
      <alignment horizontal="center" vertical="center" wrapText="1"/>
    </xf>
    <xf numFmtId="9" fontId="10" fillId="0" borderId="111" xfId="1" quotePrefix="1" applyNumberFormat="1" applyFont="1" applyBorder="1" applyAlignment="1">
      <alignment horizontal="center" vertical="center" wrapText="1"/>
    </xf>
    <xf numFmtId="164" fontId="11" fillId="0" borderId="25" xfId="2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4" fontId="16" fillId="0" borderId="117" xfId="2" applyNumberFormat="1" applyFont="1" applyFill="1" applyBorder="1" applyAlignment="1">
      <alignment horizontal="center"/>
    </xf>
    <xf numFmtId="0" fontId="24" fillId="0" borderId="118" xfId="0" applyFont="1" applyBorder="1" applyAlignment="1">
      <alignment horizontal="left"/>
    </xf>
    <xf numFmtId="0" fontId="16" fillId="0" borderId="119" xfId="0" applyFont="1" applyBorder="1"/>
    <xf numFmtId="164" fontId="16" fillId="0" borderId="119" xfId="2" applyNumberFormat="1" applyFont="1" applyFill="1" applyBorder="1" applyAlignment="1">
      <alignment horizontal="center"/>
    </xf>
    <xf numFmtId="164" fontId="16" fillId="0" borderId="120" xfId="2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right" vertical="center"/>
    </xf>
    <xf numFmtId="44" fontId="13" fillId="2" borderId="74" xfId="0" applyNumberFormat="1" applyFont="1" applyFill="1" applyBorder="1" applyAlignment="1">
      <alignment horizontal="right" vertical="center"/>
    </xf>
    <xf numFmtId="164" fontId="14" fillId="0" borderId="26" xfId="0" applyNumberFormat="1" applyFont="1" applyBorder="1" applyAlignment="1">
      <alignment horizontal="right" vertical="center"/>
    </xf>
    <xf numFmtId="44" fontId="14" fillId="0" borderId="75" xfId="0" applyNumberFormat="1" applyFont="1" applyBorder="1" applyAlignment="1">
      <alignment horizontal="right" vertical="center"/>
    </xf>
    <xf numFmtId="10" fontId="13" fillId="2" borderId="30" xfId="0" applyNumberFormat="1" applyFont="1" applyFill="1" applyBorder="1" applyAlignment="1">
      <alignment horizontal="right" vertical="center"/>
    </xf>
    <xf numFmtId="10" fontId="13" fillId="2" borderId="76" xfId="0" applyNumberFormat="1" applyFont="1" applyFill="1" applyBorder="1" applyAlignment="1">
      <alignment horizontal="right" vertical="center"/>
    </xf>
    <xf numFmtId="44" fontId="13" fillId="2" borderId="76" xfId="0" applyNumberFormat="1" applyFont="1" applyFill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44" fontId="14" fillId="0" borderId="77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64" fontId="16" fillId="3" borderId="48" xfId="2" applyNumberFormat="1" applyFont="1" applyFill="1" applyBorder="1" applyAlignment="1" applyProtection="1">
      <alignment horizontal="center" vertical="center"/>
      <protection locked="0"/>
    </xf>
    <xf numFmtId="164" fontId="16" fillId="0" borderId="0" xfId="2" applyNumberFormat="1" applyFont="1" applyAlignment="1" applyProtection="1">
      <alignment horizontal="center" vertical="center"/>
      <protection locked="0"/>
    </xf>
    <xf numFmtId="164" fontId="16" fillId="3" borderId="0" xfId="2" applyNumberFormat="1" applyFont="1" applyFill="1" applyAlignment="1" applyProtection="1">
      <alignment horizontal="center" vertical="center"/>
      <protection locked="0"/>
    </xf>
    <xf numFmtId="164" fontId="35" fillId="3" borderId="0" xfId="2" applyNumberFormat="1" applyFont="1" applyFill="1" applyAlignment="1" applyProtection="1">
      <alignment horizontal="center" vertical="center"/>
      <protection locked="0"/>
    </xf>
    <xf numFmtId="167" fontId="11" fillId="0" borderId="43" xfId="1" applyNumberFormat="1" applyFont="1" applyBorder="1" applyAlignment="1">
      <alignment horizontal="center" vertical="center" wrapText="1"/>
    </xf>
    <xf numFmtId="166" fontId="11" fillId="2" borderId="40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1" xfId="1" applyNumberFormat="1" applyFont="1" applyBorder="1" applyAlignment="1" applyProtection="1">
      <alignment horizontal="center" vertical="center" wrapText="1"/>
      <protection locked="0"/>
    </xf>
    <xf numFmtId="166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166" fontId="11" fillId="2" borderId="42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0" xfId="1" applyNumberFormat="1" applyFont="1" applyBorder="1" applyAlignment="1" applyProtection="1">
      <alignment horizontal="center" vertical="center" wrapText="1"/>
      <protection locked="0"/>
    </xf>
    <xf numFmtId="166" fontId="11" fillId="0" borderId="43" xfId="1" applyNumberFormat="1" applyFont="1" applyBorder="1" applyAlignment="1" applyProtection="1">
      <alignment horizontal="center" vertical="center" wrapText="1"/>
      <protection locked="0"/>
    </xf>
    <xf numFmtId="166" fontId="11" fillId="2" borderId="30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26" xfId="1" applyNumberFormat="1" applyFont="1" applyBorder="1" applyAlignment="1" applyProtection="1">
      <alignment horizontal="center" vertical="center" wrapText="1"/>
      <protection locked="0"/>
    </xf>
    <xf numFmtId="166" fontId="11" fillId="2" borderId="26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30" xfId="1" applyNumberFormat="1" applyFont="1" applyBorder="1" applyAlignment="1" applyProtection="1">
      <alignment horizontal="center" vertical="center" wrapText="1"/>
      <protection locked="0"/>
    </xf>
    <xf numFmtId="166" fontId="11" fillId="2" borderId="3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1" applyNumberFormat="1" applyFont="1" applyBorder="1" applyAlignment="1" applyProtection="1">
      <alignment horizontal="center" vertical="center" wrapText="1"/>
      <protection locked="0"/>
    </xf>
    <xf numFmtId="165" fontId="11" fillId="2" borderId="40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41" xfId="1" applyNumberFormat="1" applyFont="1" applyBorder="1" applyAlignment="1" applyProtection="1">
      <alignment horizontal="center" vertical="center" wrapText="1"/>
      <protection locked="0"/>
    </xf>
    <xf numFmtId="165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165" fontId="11" fillId="2" borderId="42" xfId="1" applyNumberFormat="1" applyFont="1" applyFill="1" applyBorder="1" applyAlignment="1" applyProtection="1">
      <alignment horizontal="center" vertical="center" wrapText="1"/>
      <protection locked="0"/>
    </xf>
    <xf numFmtId="165" fontId="11" fillId="0" borderId="40" xfId="1" quotePrefix="1" applyNumberFormat="1" applyFont="1" applyBorder="1" applyAlignment="1" applyProtection="1">
      <alignment horizontal="center" vertical="center" wrapText="1"/>
      <protection locked="0"/>
    </xf>
    <xf numFmtId="165" fontId="11" fillId="0" borderId="43" xfId="1" applyNumberFormat="1" applyFont="1" applyBorder="1" applyAlignment="1" applyProtection="1">
      <alignment horizontal="center" vertical="center" wrapText="1"/>
      <protection locked="0"/>
    </xf>
    <xf numFmtId="10" fontId="11" fillId="0" borderId="26" xfId="2" applyNumberFormat="1" applyFont="1" applyBorder="1" applyAlignment="1" applyProtection="1">
      <alignment horizontal="right" vertical="center" wrapText="1"/>
      <protection locked="0"/>
    </xf>
    <xf numFmtId="10" fontId="11" fillId="2" borderId="26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51" xfId="2" applyNumberFormat="1" applyFont="1" applyBorder="1" applyAlignment="1" applyProtection="1">
      <alignment horizontal="right" vertical="center" wrapText="1"/>
      <protection locked="0"/>
    </xf>
    <xf numFmtId="10" fontId="11" fillId="2" borderId="51" xfId="2" applyNumberFormat="1" applyFont="1" applyFill="1" applyBorder="1" applyAlignment="1" applyProtection="1">
      <alignment horizontal="right" vertical="center" wrapText="1"/>
      <protection locked="0"/>
    </xf>
    <xf numFmtId="10" fontId="11" fillId="2" borderId="34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30" xfId="2" quotePrefix="1" applyNumberFormat="1" applyFont="1" applyBorder="1" applyAlignment="1" applyProtection="1">
      <alignment horizontal="right" vertical="center" wrapText="1"/>
      <protection locked="0"/>
    </xf>
    <xf numFmtId="0" fontId="17" fillId="0" borderId="105" xfId="0" applyFont="1" applyBorder="1" applyAlignment="1">
      <alignment horizontal="center" textRotation="90" wrapText="1"/>
    </xf>
    <xf numFmtId="164" fontId="13" fillId="2" borderId="106" xfId="0" applyNumberFormat="1" applyFont="1" applyFill="1" applyBorder="1" applyAlignment="1">
      <alignment horizontal="center" vertical="center"/>
    </xf>
    <xf numFmtId="164" fontId="14" fillId="0" borderId="107" xfId="0" applyNumberFormat="1" applyFont="1" applyBorder="1" applyAlignment="1">
      <alignment horizontal="center" vertical="center"/>
    </xf>
    <xf numFmtId="164" fontId="14" fillId="0" borderId="108" xfId="0" applyNumberFormat="1" applyFont="1" applyBorder="1" applyAlignment="1">
      <alignment horizontal="center" vertical="center"/>
    </xf>
    <xf numFmtId="10" fontId="11" fillId="2" borderId="44" xfId="2" applyNumberFormat="1" applyFont="1" applyFill="1" applyBorder="1" applyAlignment="1" applyProtection="1">
      <alignment horizontal="right" vertical="center" wrapText="1"/>
      <protection locked="0"/>
    </xf>
    <xf numFmtId="10" fontId="11" fillId="2" borderId="42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4" xfId="2" applyNumberFormat="1" applyFont="1" applyBorder="1" applyAlignment="1" applyProtection="1">
      <alignment horizontal="right" vertical="center" wrapText="1"/>
      <protection locked="0"/>
    </xf>
    <xf numFmtId="10" fontId="11" fillId="2" borderId="50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52" xfId="2" applyNumberFormat="1" applyFont="1" applyBorder="1" applyAlignment="1" applyProtection="1">
      <alignment horizontal="right" vertical="center" wrapText="1"/>
      <protection locked="0"/>
    </xf>
    <xf numFmtId="10" fontId="11" fillId="2" borderId="30" xfId="2" applyNumberFormat="1" applyFont="1" applyFill="1" applyBorder="1" applyAlignment="1" applyProtection="1">
      <alignment horizontal="right" vertical="center" wrapText="1"/>
      <protection locked="0"/>
    </xf>
    <xf numFmtId="10" fontId="11" fillId="0" borderId="30" xfId="2" applyNumberFormat="1" applyFont="1" applyBorder="1" applyAlignment="1" applyProtection="1">
      <alignment horizontal="right" vertical="center" wrapText="1"/>
      <protection locked="0"/>
    </xf>
    <xf numFmtId="10" fontId="11" fillId="2" borderId="27" xfId="2" applyNumberFormat="1" applyFont="1" applyFill="1" applyBorder="1" applyAlignment="1" applyProtection="1">
      <alignment horizontal="right" vertical="center" wrapText="1"/>
      <protection locked="0"/>
    </xf>
    <xf numFmtId="166" fontId="11" fillId="2" borderId="7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5" xfId="1" applyNumberFormat="1" applyFont="1" applyBorder="1" applyAlignment="1" applyProtection="1">
      <alignment horizontal="center" vertical="center" wrapText="1"/>
      <protection locked="0"/>
    </xf>
    <xf numFmtId="166" fontId="11" fillId="2" borderId="75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6" xfId="1" applyNumberFormat="1" applyFont="1" applyBorder="1" applyAlignment="1" applyProtection="1">
      <alignment horizontal="center" vertical="center" wrapText="1"/>
      <protection locked="0"/>
    </xf>
    <xf numFmtId="166" fontId="11" fillId="2" borderId="124" xfId="1" applyNumberFormat="1" applyFont="1" applyFill="1" applyBorder="1" applyAlignment="1" applyProtection="1">
      <alignment horizontal="center" vertical="center" wrapText="1"/>
      <protection locked="0"/>
    </xf>
    <xf numFmtId="166" fontId="11" fillId="0" borderId="77" xfId="1" applyNumberFormat="1" applyFont="1" applyBorder="1" applyAlignment="1" applyProtection="1">
      <alignment horizontal="center" vertical="center" wrapText="1"/>
      <protection locked="0"/>
    </xf>
    <xf numFmtId="10" fontId="11" fillId="0" borderId="26" xfId="2" applyNumberFormat="1" applyFont="1" applyBorder="1" applyAlignment="1" applyProtection="1">
      <alignment horizontal="center" vertical="center" wrapText="1"/>
      <protection locked="0"/>
    </xf>
    <xf numFmtId="10" fontId="11" fillId="2" borderId="26" xfId="2" applyNumberFormat="1" applyFont="1" applyFill="1" applyBorder="1" applyAlignment="1" applyProtection="1">
      <alignment horizontal="center" vertical="center" wrapText="1"/>
      <protection locked="0"/>
    </xf>
    <xf numFmtId="10" fontId="11" fillId="2" borderId="42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30" xfId="2" quotePrefix="1" applyNumberFormat="1" applyFont="1" applyBorder="1" applyAlignment="1" applyProtection="1">
      <alignment horizontal="center" vertical="center" wrapText="1"/>
      <protection locked="0"/>
    </xf>
    <xf numFmtId="10" fontId="11" fillId="0" borderId="4" xfId="2" applyNumberFormat="1" applyFont="1" applyBorder="1" applyAlignment="1" applyProtection="1">
      <alignment horizontal="center" vertical="center" wrapText="1"/>
      <protection locked="0"/>
    </xf>
    <xf numFmtId="168" fontId="10" fillId="0" borderId="75" xfId="1" quotePrefix="1" applyNumberFormat="1" applyFont="1" applyBorder="1" applyAlignment="1" applyProtection="1">
      <alignment horizontal="center" vertical="center" wrapText="1"/>
      <protection locked="0"/>
    </xf>
    <xf numFmtId="168" fontId="10" fillId="2" borderId="84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0" borderId="85" xfId="1" quotePrefix="1" applyNumberFormat="1" applyFont="1" applyBorder="1" applyAlignment="1" applyProtection="1">
      <alignment horizontal="center" vertical="center" wrapText="1"/>
      <protection locked="0"/>
    </xf>
    <xf numFmtId="168" fontId="10" fillId="0" borderId="86" xfId="1" quotePrefix="1" applyNumberFormat="1" applyFont="1" applyBorder="1" applyAlignment="1" applyProtection="1">
      <alignment horizontal="center" vertical="center" wrapText="1"/>
      <protection locked="0"/>
    </xf>
    <xf numFmtId="168" fontId="10" fillId="2" borderId="74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2" borderId="76" xfId="1" quotePrefix="1" applyNumberFormat="1" applyFont="1" applyFill="1" applyBorder="1" applyAlignment="1" applyProtection="1">
      <alignment horizontal="center" vertical="center" wrapText="1"/>
      <protection locked="0"/>
    </xf>
    <xf numFmtId="168" fontId="10" fillId="0" borderId="77" xfId="1" quotePrefix="1" applyNumberFormat="1" applyFont="1" applyBorder="1" applyAlignment="1" applyProtection="1">
      <alignment horizontal="center" vertical="center" wrapText="1"/>
      <protection locked="0"/>
    </xf>
    <xf numFmtId="168" fontId="11" fillId="2" borderId="74" xfId="1" applyNumberFormat="1" applyFont="1" applyFill="1" applyBorder="1" applyAlignment="1">
      <alignment horizontal="center" vertical="center" wrapText="1"/>
    </xf>
    <xf numFmtId="168" fontId="11" fillId="0" borderId="75" xfId="1" applyNumberFormat="1" applyFont="1" applyBorder="1" applyAlignment="1">
      <alignment horizontal="center" vertical="center" wrapText="1"/>
    </xf>
    <xf numFmtId="168" fontId="11" fillId="2" borderId="76" xfId="1" applyNumberFormat="1" applyFont="1" applyFill="1" applyBorder="1" applyAlignment="1">
      <alignment horizontal="center" vertical="center" wrapText="1"/>
    </xf>
    <xf numFmtId="168" fontId="11" fillId="0" borderId="77" xfId="1" applyNumberFormat="1" applyFont="1" applyBorder="1" applyAlignment="1">
      <alignment horizontal="center" vertical="center" wrapText="1"/>
    </xf>
    <xf numFmtId="10" fontId="11" fillId="2" borderId="29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5" xfId="2" applyNumberFormat="1" applyFont="1" applyBorder="1" applyAlignment="1" applyProtection="1">
      <alignment horizontal="center" vertical="center" wrapText="1"/>
      <protection locked="0"/>
    </xf>
    <xf numFmtId="10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5" xfId="2" applyNumberFormat="1" applyFont="1" applyFill="1" applyBorder="1" applyAlignment="1" applyProtection="1">
      <alignment horizontal="center" vertical="center" wrapText="1"/>
      <protection locked="0"/>
    </xf>
    <xf numFmtId="10" fontId="11" fillId="2" borderId="33" xfId="2" applyNumberFormat="1" applyFont="1" applyFill="1" applyBorder="1" applyAlignment="1" applyProtection="1">
      <alignment horizontal="center" vertical="center" wrapText="1"/>
      <protection locked="0"/>
    </xf>
    <xf numFmtId="10" fontId="11" fillId="0" borderId="29" xfId="2" applyNumberFormat="1" applyFont="1" applyBorder="1" applyAlignment="1" applyProtection="1">
      <alignment horizontal="center" vertical="center" wrapText="1"/>
      <protection locked="0"/>
    </xf>
    <xf numFmtId="10" fontId="11" fillId="0" borderId="15" xfId="2" applyNumberFormat="1" applyFont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vertical="center"/>
    </xf>
    <xf numFmtId="164" fontId="35" fillId="3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/>
    </xf>
    <xf numFmtId="164" fontId="31" fillId="0" borderId="0" xfId="2" applyNumberFormat="1" applyFont="1" applyFill="1" applyAlignment="1" applyProtection="1">
      <alignment horizontal="center"/>
      <protection locked="0"/>
    </xf>
    <xf numFmtId="0" fontId="26" fillId="3" borderId="0" xfId="0" applyFont="1" applyFill="1" applyAlignment="1">
      <alignment horizontal="center"/>
    </xf>
    <xf numFmtId="164" fontId="35" fillId="3" borderId="0" xfId="2" applyNumberFormat="1" applyFont="1" applyFill="1" applyAlignment="1" applyProtection="1">
      <alignment horizontal="center"/>
      <protection locked="0"/>
    </xf>
    <xf numFmtId="0" fontId="11" fillId="0" borderId="126" xfId="0" applyFont="1" applyBorder="1" applyAlignment="1">
      <alignment vertical="center"/>
    </xf>
    <xf numFmtId="0" fontId="11" fillId="0" borderId="127" xfId="0" applyFont="1" applyBorder="1" applyAlignment="1">
      <alignment vertical="center"/>
    </xf>
    <xf numFmtId="0" fontId="11" fillId="0" borderId="128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4" fillId="0" borderId="113" xfId="0" applyFont="1" applyBorder="1" applyAlignment="1">
      <alignment horizontal="left" indent="1"/>
    </xf>
    <xf numFmtId="0" fontId="24" fillId="0" borderId="114" xfId="0" applyFont="1" applyBorder="1" applyAlignment="1">
      <alignment horizontal="left" indent="1"/>
    </xf>
    <xf numFmtId="0" fontId="24" fillId="0" borderId="115" xfId="0" applyFont="1" applyBorder="1" applyAlignment="1">
      <alignment horizontal="left" indent="1"/>
    </xf>
    <xf numFmtId="0" fontId="6" fillId="0" borderId="116" xfId="0" applyFont="1" applyBorder="1" applyAlignment="1">
      <alignment horizontal="center"/>
    </xf>
    <xf numFmtId="164" fontId="38" fillId="0" borderId="0" xfId="2" applyNumberFormat="1" applyFont="1" applyFill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/>
    </xf>
    <xf numFmtId="164" fontId="16" fillId="0" borderId="0" xfId="2" applyNumberFormat="1" applyFont="1" applyBorder="1" applyAlignment="1" applyProtection="1">
      <alignment horizontal="center" vertical="center"/>
      <protection locked="0"/>
    </xf>
    <xf numFmtId="164" fontId="16" fillId="3" borderId="0" xfId="2" applyNumberFormat="1" applyFont="1" applyFill="1" applyBorder="1" applyAlignment="1" applyProtection="1">
      <alignment horizontal="center" vertical="center"/>
      <protection locked="0"/>
    </xf>
    <xf numFmtId="164" fontId="35" fillId="3" borderId="0" xfId="2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/>
    <xf numFmtId="165" fontId="13" fillId="2" borderId="30" xfId="0" applyNumberFormat="1" applyFont="1" applyFill="1" applyBorder="1" applyAlignment="1">
      <alignment vertical="center"/>
    </xf>
    <xf numFmtId="0" fontId="1" fillId="0" borderId="0" xfId="0" quotePrefix="1" applyFont="1"/>
    <xf numFmtId="0" fontId="5" fillId="0" borderId="23" xfId="3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17" fillId="0" borderId="12" xfId="0" applyFont="1" applyBorder="1" applyAlignment="1">
      <alignment horizontal="center" textRotation="90"/>
    </xf>
    <xf numFmtId="0" fontId="17" fillId="0" borderId="9" xfId="0" applyFont="1" applyBorder="1" applyAlignment="1">
      <alignment horizontal="center" textRotation="90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9" fillId="0" borderId="79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9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1" fillId="0" borderId="102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11" fillId="0" borderId="95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8" fillId="0" borderId="49" xfId="6" applyFont="1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6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9" fillId="0" borderId="0" xfId="7" applyAlignment="1">
      <alignment horizontal="center"/>
    </xf>
    <xf numFmtId="0" fontId="24" fillId="0" borderId="121" xfId="0" applyFont="1" applyBorder="1" applyAlignment="1">
      <alignment vertical="center"/>
    </xf>
    <xf numFmtId="0" fontId="24" fillId="0" borderId="122" xfId="0" applyFont="1" applyBorder="1" applyAlignment="1">
      <alignment vertical="center"/>
    </xf>
    <xf numFmtId="0" fontId="24" fillId="0" borderId="123" xfId="0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6" fillId="0" borderId="0" xfId="0" applyFont="1"/>
    <xf numFmtId="0" fontId="34" fillId="0" borderId="0" xfId="7" applyFont="1" applyAlignment="1">
      <alignment horizontal="center"/>
    </xf>
    <xf numFmtId="0" fontId="32" fillId="0" borderId="0" xfId="7" applyFont="1" applyAlignment="1">
      <alignment horizontal="center"/>
    </xf>
  </cellXfs>
  <cellStyles count="9">
    <cellStyle name="Currency" xfId="1" builtinId="4"/>
    <cellStyle name="Currency 2" xfId="4" xr:uid="{00000000-0005-0000-0000-000001000000}"/>
    <cellStyle name="Heading 1" xfId="3" builtinId="16"/>
    <cellStyle name="Heading 4" xfId="7" builtinId="19"/>
    <cellStyle name="Hyperlink" xfId="8" builtinId="8"/>
    <cellStyle name="Normal" xfId="0" builtinId="0"/>
    <cellStyle name="Percent" xfId="2" builtinId="5"/>
    <cellStyle name="Percent 2" xfId="5" xr:uid="{00000000-0005-0000-0000-000007000000}"/>
    <cellStyle name="Title" xfId="6" builtinId="15"/>
  </cellStyles>
  <dxfs count="0"/>
  <tableStyles count="0" defaultTableStyle="TableStyleMedium2" defaultPivotStyle="PivotStyleLight16"/>
  <colors>
    <mruColors>
      <color rgb="FF353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68888735735166E-2"/>
          <c:y val="2.9579458712864982E-2"/>
          <c:w val="0.93903105619011829"/>
          <c:h val="0.88614965996288186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'Funding-Target vs Position'!$F$41</c:f>
              <c:strCache>
                <c:ptCount val="1"/>
                <c:pt idx="0">
                  <c:v>Minimum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cat>
          <c:val>
            <c:numRef>
              <c:f>'Funding-Target vs Position'!$F$42:$F$53</c:f>
              <c:numCache>
                <c:formatCode>0.0%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1.1499999999999999</c:v>
                </c:pt>
                <c:pt idx="4">
                  <c:v>0.95</c:v>
                </c:pt>
                <c:pt idx="5">
                  <c:v>1</c:v>
                </c:pt>
                <c:pt idx="6">
                  <c:v>0</c:v>
                </c:pt>
                <c:pt idx="7">
                  <c:v>1.05</c:v>
                </c:pt>
                <c:pt idx="8">
                  <c:v>1.1399999999999999</c:v>
                </c:pt>
                <c:pt idx="9">
                  <c:v>0</c:v>
                </c:pt>
                <c:pt idx="10">
                  <c:v>1.21</c:v>
                </c:pt>
                <c:pt idx="1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3-4C2A-B406-2F6C37483299}"/>
            </c:ext>
          </c:extLst>
        </c:ser>
        <c:ser>
          <c:idx val="4"/>
          <c:order val="4"/>
          <c:tx>
            <c:strRef>
              <c:f>'Funding-Target vs Position'!$G$41</c:f>
              <c:strCache>
                <c:ptCount val="1"/>
                <c:pt idx="0">
                  <c:v>Target Range</c:v>
                </c:pt>
              </c:strCache>
            </c:strRef>
          </c:tx>
          <c:spPr>
            <a:gradFill>
              <a:gsLst>
                <a:gs pos="0">
                  <a:srgbClr val="92D050"/>
                </a:gs>
                <a:gs pos="100000">
                  <a:srgbClr val="FF000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cat>
          <c:val>
            <c:numRef>
              <c:f>'Funding-Target vs Position'!$G$42:$G$53</c:f>
              <c:numCache>
                <c:formatCode>0.0%</c:formatCode>
                <c:ptCount val="12"/>
                <c:pt idx="0">
                  <c:v>0.19999999999999996</c:v>
                </c:pt>
                <c:pt idx="1">
                  <c:v>0.25</c:v>
                </c:pt>
                <c:pt idx="2">
                  <c:v>0</c:v>
                </c:pt>
                <c:pt idx="3">
                  <c:v>0.10000000000000009</c:v>
                </c:pt>
                <c:pt idx="4">
                  <c:v>0.15000000000000013</c:v>
                </c:pt>
                <c:pt idx="5">
                  <c:v>0</c:v>
                </c:pt>
                <c:pt idx="6">
                  <c:v>0</c:v>
                </c:pt>
                <c:pt idx="7">
                  <c:v>0.14999999999999991</c:v>
                </c:pt>
                <c:pt idx="8">
                  <c:v>0.14000000000000012</c:v>
                </c:pt>
                <c:pt idx="9">
                  <c:v>0</c:v>
                </c:pt>
                <c:pt idx="10">
                  <c:v>8.0000000000000071E-2</c:v>
                </c:pt>
                <c:pt idx="11">
                  <c:v>0.29999999999999982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3-4C2A-B406-2F6C3748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15117280"/>
        <c:axId val="415117672"/>
      </c:barChart>
      <c:scatterChart>
        <c:scatterStyle val="lineMarker"/>
        <c:varyColors val="0"/>
        <c:ser>
          <c:idx val="1"/>
          <c:order val="1"/>
          <c:tx>
            <c:strRef>
              <c:f>'Funding-Target vs Position'!$D$41</c:f>
              <c:strCache>
                <c:ptCount val="1"/>
                <c:pt idx="0">
                  <c:v>2020 IFRS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2"/>
            <c:spPr>
              <a:solidFill>
                <a:schemeClr val="bg1">
                  <a:alpha val="0"/>
                </a:schemeClr>
              </a:solidFill>
              <a:ln w="19050">
                <a:solidFill>
                  <a:srgbClr val="7030A0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Position'!$D$42:$D$53</c:f>
              <c:numCache>
                <c:formatCode>0.0%</c:formatCode>
                <c:ptCount val="12"/>
                <c:pt idx="0">
                  <c:v>1.323</c:v>
                </c:pt>
                <c:pt idx="1">
                  <c:v>1.6422181155074715</c:v>
                </c:pt>
                <c:pt idx="2">
                  <c:v>1.0640000000000001</c:v>
                </c:pt>
                <c:pt idx="3">
                  <c:v>1.4750000000000001</c:v>
                </c:pt>
                <c:pt idx="4">
                  <c:v>1.206</c:v>
                </c:pt>
                <c:pt idx="5">
                  <c:v>1.246</c:v>
                </c:pt>
                <c:pt idx="6">
                  <c:v>1.504</c:v>
                </c:pt>
                <c:pt idx="7">
                  <c:v>1.335</c:v>
                </c:pt>
                <c:pt idx="8">
                  <c:v>1.204</c:v>
                </c:pt>
                <c:pt idx="9">
                  <c:v>1.657</c:v>
                </c:pt>
                <c:pt idx="10">
                  <c:v>0</c:v>
                </c:pt>
                <c:pt idx="11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E3-4C2A-B406-2F6C37483299}"/>
            </c:ext>
          </c:extLst>
        </c:ser>
        <c:ser>
          <c:idx val="2"/>
          <c:order val="2"/>
          <c:tx>
            <c:strRef>
              <c:f>'Funding-Target vs Position'!$E$41</c:f>
              <c:strCache>
                <c:ptCount val="1"/>
                <c:pt idx="0">
                  <c:v>Target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2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Position'!$E$42:$E$53</c:f>
              <c:numCache>
                <c:formatCode>0.0%</c:formatCode>
                <c:ptCount val="12"/>
                <c:pt idx="0">
                  <c:v>1.1000000000000001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1.3</c:v>
                </c:pt>
                <c:pt idx="7">
                  <c:v>0</c:v>
                </c:pt>
                <c:pt idx="8">
                  <c:v>0</c:v>
                </c:pt>
                <c:pt idx="9">
                  <c:v>1.3</c:v>
                </c:pt>
                <c:pt idx="10">
                  <c:v>1.25</c:v>
                </c:pt>
                <c:pt idx="11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E3-4C2A-B406-2F6C37483299}"/>
            </c:ext>
          </c:extLst>
        </c:ser>
        <c:ser>
          <c:idx val="7"/>
          <c:order val="7"/>
          <c:tx>
            <c:strRef>
              <c:f>'Funding-Target vs Position'!$H$41</c:f>
              <c:strCache>
                <c:ptCount val="1"/>
                <c:pt idx="0">
                  <c:v>2020 NON-IFRS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bg1">
                  <a:alpha val="0"/>
                </a:schemeClr>
              </a:solidFill>
              <a:ln w="15875">
                <a:solidFill>
                  <a:srgbClr val="00B0F0"/>
                </a:solidFill>
              </a:ln>
              <a:effectLst/>
            </c:spPr>
          </c:marker>
          <c:xVal>
            <c:strRef>
              <c:f>'Funding-Target vs Position'!$C$42:$C$53</c:f>
              <c:strCache>
                <c:ptCount val="12"/>
                <c:pt idx="0">
                  <c:v>NL</c:v>
                </c:pt>
                <c:pt idx="1">
                  <c:v>PE</c:v>
                </c:pt>
                <c:pt idx="2">
                  <c:v>NS</c:v>
                </c:pt>
                <c:pt idx="3">
                  <c:v>NB</c:v>
                </c:pt>
                <c:pt idx="4">
                  <c:v>QC</c:v>
                </c:pt>
                <c:pt idx="5">
                  <c:v>ON</c:v>
                </c:pt>
                <c:pt idx="6">
                  <c:v>MB</c:v>
                </c:pt>
                <c:pt idx="7">
                  <c:v>SK</c:v>
                </c:pt>
                <c:pt idx="8">
                  <c:v>AB</c:v>
                </c:pt>
                <c:pt idx="9">
                  <c:v>BC</c:v>
                </c:pt>
                <c:pt idx="10">
                  <c:v>YT</c:v>
                </c:pt>
                <c:pt idx="11">
                  <c:v>NT/NU</c:v>
                </c:pt>
              </c:strCache>
            </c:strRef>
          </c:xVal>
          <c:yVal>
            <c:numRef>
              <c:f>'Funding-Target vs Position'!$H$42:$H$53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1.357</c:v>
                </c:pt>
                <c:pt idx="5">
                  <c:v>1.212</c:v>
                </c:pt>
                <c:pt idx="6">
                  <c:v>0</c:v>
                </c:pt>
                <c:pt idx="7">
                  <c:v>1.0760000000000001</c:v>
                </c:pt>
                <c:pt idx="8">
                  <c:v>0</c:v>
                </c:pt>
                <c:pt idx="9">
                  <c:v>1.5469999999999999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E3-4C2A-B406-2F6C3748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117280"/>
        <c:axId val="41511767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2016 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ash"/>
                  <c:size val="12"/>
                  <c:spPr>
                    <a:solidFill>
                      <a:srgbClr val="00B0F0"/>
                    </a:solidFill>
                    <a:ln w="25400">
                      <a:solidFill>
                        <a:srgbClr val="00B0F0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FE3-4C2A-B406-2F6C37483299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2018 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10"/>
                  <c:spPr>
                    <a:solidFill>
                      <a:srgbClr val="00B0F0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FE3-4C2A-B406-2F6C37483299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2016 NON-IFRS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ash"/>
                  <c:size val="12"/>
                  <c:spPr>
                    <a:solidFill>
                      <a:schemeClr val="accent1">
                        <a:lumMod val="60000"/>
                      </a:schemeClr>
                    </a:solidFill>
                    <a:ln w="25400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FE3-4C2A-B406-2F6C37483299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strCache>
                      <c:ptCount val="1"/>
                      <c:pt idx="0">
                        <c:v>2018 NON-IFRS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10"/>
                  <c:spPr>
                    <a:solidFill>
                      <a:srgbClr val="7030A0"/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Position'!$C$42:$C$53</c15:sqref>
                        </c15:formulaRef>
                      </c:ext>
                    </c:extLst>
                    <c:strCache>
                      <c:ptCount val="12"/>
                      <c:pt idx="0">
                        <c:v>NL</c:v>
                      </c:pt>
                      <c:pt idx="1">
                        <c:v>PE</c:v>
                      </c:pt>
                      <c:pt idx="2">
                        <c:v>NS</c:v>
                      </c:pt>
                      <c:pt idx="3">
                        <c:v>NB</c:v>
                      </c:pt>
                      <c:pt idx="4">
                        <c:v>QC</c:v>
                      </c:pt>
                      <c:pt idx="5">
                        <c:v>ON</c:v>
                      </c:pt>
                      <c:pt idx="6">
                        <c:v>MB</c:v>
                      </c:pt>
                      <c:pt idx="7">
                        <c:v>SK</c:v>
                      </c:pt>
                      <c:pt idx="8">
                        <c:v>AB</c:v>
                      </c:pt>
                      <c:pt idx="9">
                        <c:v>BC</c:v>
                      </c:pt>
                      <c:pt idx="10">
                        <c:v>YT</c:v>
                      </c:pt>
                      <c:pt idx="11">
                        <c:v>NT/NU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'Funding-Target vs Position'!#REF!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FE3-4C2A-B406-2F6C37483299}"/>
                  </c:ext>
                </c:extLst>
              </c15:ser>
            </c15:filteredScatterSeries>
          </c:ext>
        </c:extLst>
      </c:scatterChart>
      <c:catAx>
        <c:axId val="415117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5117672"/>
        <c:crosses val="autoZero"/>
        <c:auto val="1"/>
        <c:lblAlgn val="ctr"/>
        <c:lblOffset val="100"/>
        <c:noMultiLvlLbl val="0"/>
      </c:catAx>
      <c:valAx>
        <c:axId val="415117672"/>
        <c:scaling>
          <c:orientation val="minMax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11728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504826</xdr:colOff>
      <xdr:row>1</xdr:row>
      <xdr:rowOff>76200</xdr:rowOff>
    </xdr:from>
    <xdr:to>
      <xdr:col>15</xdr:col>
      <xdr:colOff>28575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al\AppData\Local\Microsoft\Windows\INetCache\Content.Outlook\RB56AYYH\2022%20Preliminary%20Financials%20AWCBC%20CFO%20Group%20updates%20-%20Nov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al\AppData\Local\Microsoft\Windows\INetCache\Content.Outlook\RB56AYYH\Copy%20of%20Updated%202022%20Preliminary%20Financials%20AWCBC%20CFO%20Group%20December%20Yuk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y Financials"/>
      <sheetName val="Funding-Target vs Position"/>
      <sheetName val="Assessment Rates"/>
    </sheetNames>
    <sheetDataSet>
      <sheetData sheetId="0"/>
      <sheetData sheetId="1">
        <row r="26">
          <cell r="M26">
            <v>1.657</v>
          </cell>
        </row>
        <row r="27">
          <cell r="M27">
            <v>1.383</v>
          </cell>
        </row>
      </sheetData>
      <sheetData sheetId="2">
        <row r="18">
          <cell r="C18">
            <v>1.55</v>
          </cell>
          <cell r="D18">
            <v>1.55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y Financials"/>
      <sheetName val="Funding-Target vs Position"/>
      <sheetName val="Assessment Rates"/>
    </sheetNames>
    <sheetDataSet>
      <sheetData sheetId="0" refreshError="1"/>
      <sheetData sheetId="1"/>
      <sheetData sheetId="2">
        <row r="19">
          <cell r="C19">
            <v>2.0699999999999998</v>
          </cell>
          <cell r="D19">
            <v>2.0699999999999998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24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B11" sqref="AB11:AC11"/>
    </sheetView>
  </sheetViews>
  <sheetFormatPr defaultColWidth="8.81640625" defaultRowHeight="13.8" x14ac:dyDescent="0.25"/>
  <cols>
    <col min="1" max="1" width="0.36328125" style="1" customWidth="1"/>
    <col min="2" max="2" width="4.26953125" style="1" customWidth="1"/>
    <col min="3" max="3" width="6.36328125" style="1" customWidth="1"/>
    <col min="4" max="4" width="6.90625" style="1" customWidth="1"/>
    <col min="5" max="5" width="1.7265625" style="1" customWidth="1"/>
    <col min="6" max="7" width="6.36328125" style="1" customWidth="1"/>
    <col min="8" max="8" width="1.90625" style="1" customWidth="1"/>
    <col min="9" max="10" width="5.08984375" style="1" customWidth="1"/>
    <col min="11" max="11" width="7.26953125" style="1" customWidth="1"/>
    <col min="12" max="13" width="5.7265625" style="1" customWidth="1"/>
    <col min="14" max="15" width="3.81640625" style="1" customWidth="1"/>
    <col min="16" max="16" width="4" style="1" bestFit="1" customWidth="1"/>
    <col min="17" max="17" width="1.6328125" style="1" customWidth="1"/>
    <col min="18" max="18" width="7.36328125" style="1" customWidth="1"/>
    <col min="19" max="20" width="5.6328125" style="1" customWidth="1"/>
    <col min="21" max="21" width="1.90625" style="1" customWidth="1"/>
    <col min="22" max="23" width="5.6328125" style="1" customWidth="1"/>
    <col min="24" max="24" width="1.6328125" style="1" customWidth="1"/>
    <col min="25" max="26" width="5.08984375" style="1" customWidth="1"/>
    <col min="27" max="27" width="1.7265625" style="1" customWidth="1"/>
    <col min="28" max="29" width="5.08984375" style="1" customWidth="1"/>
    <col min="30" max="30" width="1.6328125" style="1" customWidth="1"/>
    <col min="31" max="32" width="4.90625" style="1" customWidth="1"/>
    <col min="33" max="33" width="1.90625" style="1" customWidth="1"/>
    <col min="34" max="16384" width="8.81640625" style="1"/>
  </cols>
  <sheetData>
    <row r="1" spans="2:33" ht="18" thickBot="1" x14ac:dyDescent="0.35">
      <c r="B1" s="195" t="s">
        <v>17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2:33" ht="14.4" thickBot="1" x14ac:dyDescent="0.3">
      <c r="AE2" s="68"/>
      <c r="AF2" s="68"/>
      <c r="AG2" s="69"/>
    </row>
    <row r="3" spans="2:33" s="3" customFormat="1" ht="14.25" customHeight="1" x14ac:dyDescent="0.25">
      <c r="B3" s="5"/>
      <c r="C3" s="196" t="s">
        <v>39</v>
      </c>
      <c r="D3" s="197"/>
      <c r="E3" s="197"/>
      <c r="F3" s="197"/>
      <c r="G3" s="197"/>
      <c r="H3" s="198"/>
      <c r="I3" s="196" t="s">
        <v>6</v>
      </c>
      <c r="J3" s="197"/>
      <c r="K3" s="197"/>
      <c r="L3" s="197"/>
      <c r="M3" s="198"/>
      <c r="N3" s="248" t="s">
        <v>7</v>
      </c>
      <c r="O3" s="249"/>
      <c r="P3" s="249"/>
      <c r="Q3" s="249"/>
      <c r="R3" s="250"/>
      <c r="S3" s="213" t="s">
        <v>11</v>
      </c>
      <c r="T3" s="214"/>
      <c r="U3" s="215"/>
      <c r="V3" s="226" t="s">
        <v>8</v>
      </c>
      <c r="W3" s="227"/>
      <c r="X3" s="227"/>
      <c r="Y3" s="213" t="s">
        <v>56</v>
      </c>
      <c r="Z3" s="214"/>
      <c r="AA3" s="214"/>
      <c r="AB3" s="214"/>
      <c r="AC3" s="214"/>
      <c r="AD3" s="224"/>
      <c r="AE3" s="230" t="s">
        <v>60</v>
      </c>
      <c r="AF3" s="231"/>
      <c r="AG3" s="232"/>
    </row>
    <row r="4" spans="2:33" s="3" customFormat="1" ht="14.7" customHeight="1" x14ac:dyDescent="0.25">
      <c r="B4" s="5"/>
      <c r="C4" s="199"/>
      <c r="D4" s="200"/>
      <c r="E4" s="200"/>
      <c r="F4" s="200"/>
      <c r="G4" s="200"/>
      <c r="H4" s="201"/>
      <c r="I4" s="199"/>
      <c r="J4" s="200"/>
      <c r="K4" s="200"/>
      <c r="L4" s="200"/>
      <c r="M4" s="201"/>
      <c r="N4" s="251"/>
      <c r="O4" s="252"/>
      <c r="P4" s="252"/>
      <c r="Q4" s="252"/>
      <c r="R4" s="253"/>
      <c r="S4" s="216"/>
      <c r="T4" s="217"/>
      <c r="U4" s="218"/>
      <c r="V4" s="228"/>
      <c r="W4" s="229"/>
      <c r="X4" s="229"/>
      <c r="Y4" s="216"/>
      <c r="Z4" s="217"/>
      <c r="AA4" s="217"/>
      <c r="AB4" s="217"/>
      <c r="AC4" s="217"/>
      <c r="AD4" s="225"/>
      <c r="AE4" s="233"/>
      <c r="AF4" s="234"/>
      <c r="AG4" s="235"/>
    </row>
    <row r="5" spans="2:33" s="66" customFormat="1" ht="52.2" customHeight="1" x14ac:dyDescent="0.25">
      <c r="B5" s="65"/>
      <c r="C5" s="219" t="s">
        <v>55</v>
      </c>
      <c r="D5" s="220"/>
      <c r="E5" s="221"/>
      <c r="F5" s="240" t="s">
        <v>54</v>
      </c>
      <c r="G5" s="220"/>
      <c r="H5" s="242"/>
      <c r="I5" s="202" t="str">
        <f>Prior_Yr&amp;" IFRS (%)"</f>
        <v>2021 IFRS (%)</v>
      </c>
      <c r="J5" s="202" t="str">
        <f>Prior_Yr+1&amp;" IFRS (%)"</f>
        <v>2022 IFRS (%)</v>
      </c>
      <c r="K5" s="206" t="s">
        <v>33</v>
      </c>
      <c r="L5" s="240" t="s">
        <v>53</v>
      </c>
      <c r="M5" s="241"/>
      <c r="N5" s="246" t="s">
        <v>66</v>
      </c>
      <c r="O5" s="204" t="str">
        <f>Prior_Yr+1&amp;" ($)"</f>
        <v>2022 ($)</v>
      </c>
      <c r="P5" s="204" t="str">
        <f>Prior_Yr+2&amp;"* ($)"</f>
        <v>2023* ($)</v>
      </c>
      <c r="Q5" s="208" t="s">
        <v>9</v>
      </c>
      <c r="R5" s="222" t="s">
        <v>35</v>
      </c>
      <c r="S5" s="210" t="s">
        <v>43</v>
      </c>
      <c r="T5" s="211"/>
      <c r="U5" s="212"/>
      <c r="V5" s="238" t="s">
        <v>65</v>
      </c>
      <c r="W5" s="239"/>
      <c r="X5" s="239"/>
      <c r="Y5" s="236" t="s">
        <v>44</v>
      </c>
      <c r="Z5" s="211"/>
      <c r="AA5" s="243"/>
      <c r="AB5" s="244" t="s">
        <v>45</v>
      </c>
      <c r="AC5" s="211"/>
      <c r="AD5" s="245"/>
      <c r="AE5" s="236" t="s">
        <v>46</v>
      </c>
      <c r="AF5" s="211"/>
      <c r="AG5" s="237"/>
    </row>
    <row r="6" spans="2:33" s="3" customFormat="1" ht="18" customHeight="1" thickBot="1" x14ac:dyDescent="0.3">
      <c r="B6" s="5"/>
      <c r="C6" s="34">
        <v>2021</v>
      </c>
      <c r="D6" s="32" t="str">
        <f>Prior_Yr+1&amp;"*"</f>
        <v>2022*</v>
      </c>
      <c r="E6" s="28" t="s">
        <v>9</v>
      </c>
      <c r="F6" s="64">
        <f>+$C6</f>
        <v>2021</v>
      </c>
      <c r="G6" s="32" t="str">
        <f>$D6</f>
        <v>2022*</v>
      </c>
      <c r="H6" s="28" t="s">
        <v>9</v>
      </c>
      <c r="I6" s="203"/>
      <c r="J6" s="203"/>
      <c r="K6" s="207"/>
      <c r="L6" s="64">
        <f>+$C6</f>
        <v>2021</v>
      </c>
      <c r="M6" s="32" t="str">
        <f>$D6</f>
        <v>2022*</v>
      </c>
      <c r="N6" s="247"/>
      <c r="O6" s="205"/>
      <c r="P6" s="205"/>
      <c r="Q6" s="209"/>
      <c r="R6" s="223"/>
      <c r="S6" s="6">
        <f>+$C6</f>
        <v>2021</v>
      </c>
      <c r="T6" s="32" t="str">
        <f>$D6</f>
        <v>2022*</v>
      </c>
      <c r="U6" s="28" t="s">
        <v>9</v>
      </c>
      <c r="V6" s="64">
        <f>+$C6</f>
        <v>2021</v>
      </c>
      <c r="W6" s="32" t="str">
        <f>$D6</f>
        <v>2022*</v>
      </c>
      <c r="X6" s="28" t="s">
        <v>9</v>
      </c>
      <c r="Y6" s="6">
        <f>+$C6</f>
        <v>2021</v>
      </c>
      <c r="Z6" s="32" t="str">
        <f>$D6</f>
        <v>2022*</v>
      </c>
      <c r="AA6" s="28" t="s">
        <v>9</v>
      </c>
      <c r="AB6" s="6">
        <f>+$C6</f>
        <v>2021</v>
      </c>
      <c r="AC6" s="32" t="str">
        <f>$D6</f>
        <v>2022*</v>
      </c>
      <c r="AD6" s="28" t="s">
        <v>9</v>
      </c>
      <c r="AE6" s="64">
        <f>+$C6</f>
        <v>2021</v>
      </c>
      <c r="AF6" s="32" t="str">
        <f>$D6</f>
        <v>2022*</v>
      </c>
      <c r="AG6" s="129" t="s">
        <v>9</v>
      </c>
    </row>
    <row r="7" spans="2:33" s="31" customFormat="1" ht="15.9" customHeight="1" x14ac:dyDescent="0.25">
      <c r="B7" s="7" t="s">
        <v>3</v>
      </c>
      <c r="C7" s="105">
        <v>96.534000000000006</v>
      </c>
      <c r="D7" s="105">
        <v>-203.852</v>
      </c>
      <c r="E7" s="9">
        <f>D7-C7</f>
        <v>-300.38600000000002</v>
      </c>
      <c r="F7" s="111">
        <v>-0.03</v>
      </c>
      <c r="G7" s="111">
        <v>0.23400000000000001</v>
      </c>
      <c r="H7" s="9">
        <f>G7-F7</f>
        <v>0.26400000000000001</v>
      </c>
      <c r="I7" s="8">
        <v>1.323</v>
      </c>
      <c r="J7" s="8">
        <v>1.1619999999999999</v>
      </c>
      <c r="K7" s="46" t="s">
        <v>34</v>
      </c>
      <c r="L7" s="141"/>
      <c r="M7" s="141"/>
      <c r="N7" s="40"/>
      <c r="O7" s="40">
        <v>1.69</v>
      </c>
      <c r="P7" s="117">
        <v>1.69</v>
      </c>
      <c r="Q7" s="10">
        <f>P7-O7</f>
        <v>0</v>
      </c>
      <c r="R7" s="74" t="s">
        <v>34</v>
      </c>
      <c r="S7" s="138">
        <v>0.09</v>
      </c>
      <c r="T7" s="138">
        <v>0.09</v>
      </c>
      <c r="U7" s="9">
        <f>T7-S7</f>
        <v>0</v>
      </c>
      <c r="V7" s="163">
        <v>-8.365133560956016E-2</v>
      </c>
      <c r="W7" s="163">
        <v>6.6958904109589046E-2</v>
      </c>
      <c r="X7" s="9">
        <f t="shared" ref="X7:X18" si="0">W7-V7</f>
        <v>0.15061023971914922</v>
      </c>
      <c r="Y7" s="133">
        <v>3.2500000000000001E-2</v>
      </c>
      <c r="Z7" s="133">
        <v>3.5000000000000003E-2</v>
      </c>
      <c r="AA7" s="90">
        <f>Z7-Y7</f>
        <v>2.5000000000000022E-3</v>
      </c>
      <c r="AB7" s="136">
        <v>5.2499999999999998E-2</v>
      </c>
      <c r="AC7" s="136">
        <v>5.5E-2</v>
      </c>
      <c r="AD7" s="91">
        <f>AC7-AB7</f>
        <v>2.5000000000000022E-3</v>
      </c>
      <c r="AE7" s="165" t="s">
        <v>62</v>
      </c>
      <c r="AF7" s="148" t="s">
        <v>62</v>
      </c>
      <c r="AG7" s="130" t="e">
        <f t="shared" ref="AG7:AG18" si="1">AF7-AE7</f>
        <v>#VALUE!</v>
      </c>
    </row>
    <row r="8" spans="2:33" s="31" customFormat="1" ht="15.9" customHeight="1" x14ac:dyDescent="0.25">
      <c r="B8" s="11" t="s">
        <v>14</v>
      </c>
      <c r="C8" s="106"/>
      <c r="D8" s="106"/>
      <c r="E8" s="13">
        <f>D8-C8</f>
        <v>0</v>
      </c>
      <c r="F8" s="112"/>
      <c r="G8" s="112"/>
      <c r="H8" s="13">
        <f>G8-F8</f>
        <v>0</v>
      </c>
      <c r="I8" s="12">
        <f>+'Funding-Target vs Position'!E26</f>
        <v>1.6422181155074715</v>
      </c>
      <c r="J8" s="8">
        <f>+'Funding-Target vs Position'!E27</f>
        <v>0</v>
      </c>
      <c r="K8" s="47" t="s">
        <v>34</v>
      </c>
      <c r="L8" s="142"/>
      <c r="M8" s="142"/>
      <c r="N8" s="41"/>
      <c r="O8" s="41">
        <f>+'Assessment Rates'!C10</f>
        <v>1.43</v>
      </c>
      <c r="P8" s="118"/>
      <c r="Q8" s="14">
        <f>P8-O8</f>
        <v>-1.43</v>
      </c>
      <c r="R8" s="75" t="s">
        <v>34</v>
      </c>
      <c r="S8" s="123">
        <v>7.4999999999999997E-2</v>
      </c>
      <c r="T8" s="123"/>
      <c r="U8" s="13">
        <f>T8-S8</f>
        <v>-7.4999999999999997E-2</v>
      </c>
      <c r="V8" s="164"/>
      <c r="W8" s="123"/>
      <c r="X8" s="13">
        <f t="shared" si="0"/>
        <v>0</v>
      </c>
      <c r="Y8" s="123">
        <v>3.2500000000000001E-2</v>
      </c>
      <c r="Z8" s="123"/>
      <c r="AA8" s="92">
        <f>Z8-Y8</f>
        <v>-3.2500000000000001E-2</v>
      </c>
      <c r="AB8" s="125">
        <v>5.5E-2</v>
      </c>
      <c r="AC8" s="125"/>
      <c r="AD8" s="93">
        <f>AC8-AB8</f>
        <v>-5.5E-2</v>
      </c>
      <c r="AE8" s="164">
        <v>2.2499999999999999E-2</v>
      </c>
      <c r="AF8" s="147"/>
      <c r="AG8" s="131">
        <f t="shared" si="1"/>
        <v>-2.2499999999999999E-2</v>
      </c>
    </row>
    <row r="9" spans="2:33" s="31" customFormat="1" ht="15.9" customHeight="1" x14ac:dyDescent="0.25">
      <c r="B9" s="15" t="s">
        <v>10</v>
      </c>
      <c r="C9" s="107">
        <v>73.900000000000006</v>
      </c>
      <c r="D9" s="107" t="s">
        <v>64</v>
      </c>
      <c r="E9" s="9" t="e">
        <f>D9-C9</f>
        <v>#VALUE!</v>
      </c>
      <c r="F9" s="113">
        <v>84.4</v>
      </c>
      <c r="G9" s="113" t="s">
        <v>64</v>
      </c>
      <c r="H9" s="9" t="e">
        <f>G9-F9</f>
        <v>#VALUE!</v>
      </c>
      <c r="I9" s="16">
        <f>+'Funding-Target vs Position'!F26</f>
        <v>1.0640000000000001</v>
      </c>
      <c r="J9" s="8" t="s">
        <v>64</v>
      </c>
      <c r="K9" s="48" t="s">
        <v>34</v>
      </c>
      <c r="L9" s="143"/>
      <c r="M9" s="143"/>
      <c r="N9" s="42">
        <v>2.6</v>
      </c>
      <c r="O9" s="42">
        <f>+'Assessment Rates'!C11</f>
        <v>2.65</v>
      </c>
      <c r="P9" s="119">
        <v>2.65</v>
      </c>
      <c r="Q9" s="10">
        <f>P9-O9</f>
        <v>0</v>
      </c>
      <c r="R9" s="74" t="s">
        <v>34</v>
      </c>
      <c r="S9" s="124">
        <v>5.5E-2</v>
      </c>
      <c r="T9" s="124">
        <v>0.105</v>
      </c>
      <c r="U9" s="9">
        <f>T9-S9</f>
        <v>4.9999999999999996E-2</v>
      </c>
      <c r="V9" s="165">
        <v>3.9E-2</v>
      </c>
      <c r="W9" s="124">
        <v>1.7000000000000001E-2</v>
      </c>
      <c r="X9" s="17">
        <f t="shared" si="0"/>
        <v>-2.1999999999999999E-2</v>
      </c>
      <c r="Y9" s="124">
        <v>3.2500000000000001E-2</v>
      </c>
      <c r="Z9" s="124">
        <v>3.5000000000000003E-2</v>
      </c>
      <c r="AA9" s="94">
        <f>Z9-Y9</f>
        <v>2.5000000000000022E-3</v>
      </c>
      <c r="AB9" s="126">
        <v>5.2499999999999998E-2</v>
      </c>
      <c r="AC9" s="126">
        <v>5.5E-2</v>
      </c>
      <c r="AD9" s="95">
        <f>AC9-AB9</f>
        <v>2.5000000000000022E-3</v>
      </c>
      <c r="AE9" s="165" t="s">
        <v>48</v>
      </c>
      <c r="AF9" s="148" t="s">
        <v>48</v>
      </c>
      <c r="AG9" s="130" t="e">
        <f t="shared" si="1"/>
        <v>#VALUE!</v>
      </c>
    </row>
    <row r="10" spans="2:33" s="31" customFormat="1" ht="15.9" customHeight="1" x14ac:dyDescent="0.25">
      <c r="B10" s="11" t="s">
        <v>2</v>
      </c>
      <c r="C10" s="106">
        <v>310.5</v>
      </c>
      <c r="D10" s="106">
        <v>-21.7</v>
      </c>
      <c r="E10" s="13">
        <f t="shared" ref="E10:E17" si="2">D10-C10</f>
        <v>-332.2</v>
      </c>
      <c r="F10" s="112">
        <v>0</v>
      </c>
      <c r="G10" s="112">
        <v>0</v>
      </c>
      <c r="H10" s="13">
        <f t="shared" ref="H10:H18" si="3">G10-F10</f>
        <v>0</v>
      </c>
      <c r="I10" s="12">
        <f>+'Funding-Target vs Position'!G26</f>
        <v>1.4750000000000001</v>
      </c>
      <c r="J10" s="8">
        <v>1.4770000000000001</v>
      </c>
      <c r="K10" s="47" t="s">
        <v>34</v>
      </c>
      <c r="L10" s="142">
        <v>0</v>
      </c>
      <c r="M10" s="142">
        <v>0</v>
      </c>
      <c r="N10" s="41">
        <v>2.15</v>
      </c>
      <c r="O10" s="41">
        <v>1.69</v>
      </c>
      <c r="P10" s="118">
        <v>1.31</v>
      </c>
      <c r="Q10" s="14">
        <f t="shared" ref="Q10:Q16" si="4">P10-O10</f>
        <v>-0.37999999999999989</v>
      </c>
      <c r="R10" s="75" t="s">
        <v>34</v>
      </c>
      <c r="S10" s="123">
        <v>0.08</v>
      </c>
      <c r="T10" s="123">
        <v>0.08</v>
      </c>
      <c r="U10" s="13">
        <f t="shared" ref="U10:U17" si="5">T10-S10</f>
        <v>0</v>
      </c>
      <c r="V10" s="164">
        <v>4.9000000000000002E-2</v>
      </c>
      <c r="W10" s="123">
        <v>3.4000000000000002E-2</v>
      </c>
      <c r="X10" s="13">
        <f t="shared" si="0"/>
        <v>-1.4999999999999999E-2</v>
      </c>
      <c r="Y10" s="123">
        <v>3.7499999999999999E-2</v>
      </c>
      <c r="Z10" s="123">
        <v>3.7499999999999999E-2</v>
      </c>
      <c r="AA10" s="92">
        <f t="shared" ref="AA10:AA17" si="6">Z10-Y10</f>
        <v>0</v>
      </c>
      <c r="AB10" s="125">
        <v>6.08E-2</v>
      </c>
      <c r="AC10" s="125">
        <v>6.08E-2</v>
      </c>
      <c r="AD10" s="93">
        <f t="shared" ref="AD10:AD17" si="7">AC10-AB10</f>
        <v>0</v>
      </c>
      <c r="AE10" s="164" t="s">
        <v>48</v>
      </c>
      <c r="AF10" s="147" t="s">
        <v>48</v>
      </c>
      <c r="AG10" s="131" t="e">
        <f t="shared" ref="AG10:AG11" si="8">AF10-AE10</f>
        <v>#VALUE!</v>
      </c>
    </row>
    <row r="11" spans="2:33" s="31" customFormat="1" ht="15.9" customHeight="1" x14ac:dyDescent="0.25">
      <c r="B11" s="15" t="s">
        <v>15</v>
      </c>
      <c r="C11" s="107">
        <v>1146.2</v>
      </c>
      <c r="D11" s="107">
        <v>-2356.5</v>
      </c>
      <c r="E11" s="9">
        <f t="shared" si="2"/>
        <v>-3502.7</v>
      </c>
      <c r="F11" s="113" t="s">
        <v>61</v>
      </c>
      <c r="G11" s="113" t="s">
        <v>61</v>
      </c>
      <c r="H11" s="9" t="e">
        <f t="shared" si="3"/>
        <v>#VALUE!</v>
      </c>
      <c r="I11" s="16">
        <v>1.206</v>
      </c>
      <c r="J11" s="8">
        <v>1.0669999999999999</v>
      </c>
      <c r="K11" s="48" t="s">
        <v>34</v>
      </c>
      <c r="L11" s="143">
        <v>277.60000000000002</v>
      </c>
      <c r="M11" s="143">
        <v>465.1</v>
      </c>
      <c r="N11" s="42"/>
      <c r="O11" s="42">
        <v>1.67</v>
      </c>
      <c r="P11" s="119">
        <v>1.5</v>
      </c>
      <c r="Q11" s="10">
        <f t="shared" si="4"/>
        <v>-0.16999999999999993</v>
      </c>
      <c r="R11" s="74" t="s">
        <v>34</v>
      </c>
      <c r="S11" s="124">
        <v>0.1173</v>
      </c>
      <c r="T11" s="124">
        <v>0.12870000000000001</v>
      </c>
      <c r="U11" s="9">
        <f t="shared" si="5"/>
        <v>1.1400000000000007E-2</v>
      </c>
      <c r="V11" s="165">
        <v>3.6999999999999998E-2</v>
      </c>
      <c r="W11" s="124">
        <v>0</v>
      </c>
      <c r="X11" s="17">
        <f t="shared" si="0"/>
        <v>-3.6999999999999998E-2</v>
      </c>
      <c r="Y11" s="124">
        <v>3.7499999999999999E-2</v>
      </c>
      <c r="Z11" s="124">
        <v>3.7499999999999999E-2</v>
      </c>
      <c r="AA11" s="90">
        <f t="shared" si="6"/>
        <v>0</v>
      </c>
      <c r="AB11" s="126">
        <v>0.06</v>
      </c>
      <c r="AC11" s="126">
        <v>0.06</v>
      </c>
      <c r="AD11" s="96">
        <f t="shared" si="7"/>
        <v>0</v>
      </c>
      <c r="AE11" s="165" t="s">
        <v>48</v>
      </c>
      <c r="AF11" s="148" t="s">
        <v>48</v>
      </c>
      <c r="AG11" s="130" t="e">
        <f t="shared" si="8"/>
        <v>#VALUE!</v>
      </c>
    </row>
    <row r="12" spans="2:33" s="31" customFormat="1" ht="15.9" customHeight="1" x14ac:dyDescent="0.25">
      <c r="B12" s="11" t="s">
        <v>13</v>
      </c>
      <c r="C12" s="106"/>
      <c r="D12" s="106"/>
      <c r="E12" s="13">
        <f t="shared" si="2"/>
        <v>0</v>
      </c>
      <c r="F12" s="114"/>
      <c r="G12" s="114"/>
      <c r="H12" s="13">
        <f t="shared" si="3"/>
        <v>0</v>
      </c>
      <c r="I12" s="80">
        <f>+'Funding-Target vs Position'!I26</f>
        <v>1.246</v>
      </c>
      <c r="J12" s="8">
        <f>+'Funding-Target vs Position'!I27</f>
        <v>0</v>
      </c>
      <c r="K12" s="47" t="s">
        <v>34</v>
      </c>
      <c r="L12" s="144"/>
      <c r="M12" s="144"/>
      <c r="N12" s="41"/>
      <c r="O12" s="41">
        <f>+'Assessment Rates'!C14</f>
        <v>1.3</v>
      </c>
      <c r="P12" s="118"/>
      <c r="Q12" s="14">
        <f t="shared" si="4"/>
        <v>-1.3</v>
      </c>
      <c r="R12" s="75" t="s">
        <v>34</v>
      </c>
      <c r="S12" s="123">
        <v>9.1700000000000004E-2</v>
      </c>
      <c r="T12" s="123"/>
      <c r="U12" s="13">
        <f t="shared" si="5"/>
        <v>-9.1700000000000004E-2</v>
      </c>
      <c r="V12" s="166"/>
      <c r="W12" s="123"/>
      <c r="X12" s="13">
        <f t="shared" si="0"/>
        <v>0</v>
      </c>
      <c r="Y12" s="123">
        <v>2.75E-2</v>
      </c>
      <c r="Z12" s="123"/>
      <c r="AA12" s="92">
        <f t="shared" si="6"/>
        <v>-2.75E-2</v>
      </c>
      <c r="AB12" s="125">
        <v>4.7500000000000001E-2</v>
      </c>
      <c r="AC12" s="125"/>
      <c r="AD12" s="93">
        <f t="shared" si="7"/>
        <v>-4.7500000000000001E-2</v>
      </c>
      <c r="AE12" s="147">
        <v>2.75E-2</v>
      </c>
      <c r="AF12" s="147"/>
      <c r="AG12" s="131">
        <f t="shared" si="1"/>
        <v>-2.75E-2</v>
      </c>
    </row>
    <row r="13" spans="2:33" s="31" customFormat="1" ht="15.9" customHeight="1" x14ac:dyDescent="0.25">
      <c r="B13" s="18" t="s">
        <v>1</v>
      </c>
      <c r="C13" s="108">
        <v>6.7</v>
      </c>
      <c r="D13" s="108">
        <v>-206.2</v>
      </c>
      <c r="E13" s="9">
        <v>-317.2</v>
      </c>
      <c r="F13" s="115">
        <v>72</v>
      </c>
      <c r="G13" s="115">
        <v>-105.8</v>
      </c>
      <c r="H13" s="9">
        <v>-338</v>
      </c>
      <c r="I13" s="19">
        <v>1.504</v>
      </c>
      <c r="J13" s="8">
        <v>1.452</v>
      </c>
      <c r="K13" s="48" t="s">
        <v>34</v>
      </c>
      <c r="L13" s="145">
        <v>71.400000000000006</v>
      </c>
      <c r="M13" s="145">
        <v>94.9</v>
      </c>
      <c r="N13" s="43">
        <v>0.92</v>
      </c>
      <c r="O13" s="43">
        <v>0.95</v>
      </c>
      <c r="P13" s="120">
        <v>0.95</v>
      </c>
      <c r="Q13" s="10">
        <v>0</v>
      </c>
      <c r="R13" s="74" t="s">
        <v>34</v>
      </c>
      <c r="S13" s="127">
        <v>0.114</v>
      </c>
      <c r="T13" s="127">
        <v>0.113</v>
      </c>
      <c r="U13" s="9">
        <v>0</v>
      </c>
      <c r="V13" s="167">
        <v>0.03</v>
      </c>
      <c r="W13" s="127">
        <v>-2.4E-2</v>
      </c>
      <c r="X13" s="20">
        <v>1.0000000000000002E-2</v>
      </c>
      <c r="Y13" s="134">
        <v>3.2500000000000001E-2</v>
      </c>
      <c r="Z13" s="134">
        <v>2.5000000000000001E-3</v>
      </c>
      <c r="AA13" s="90">
        <v>0</v>
      </c>
      <c r="AB13" s="127">
        <v>5.2499999999999998E-2</v>
      </c>
      <c r="AC13" s="127">
        <v>5.7500000000000002E-2</v>
      </c>
      <c r="AD13" s="96">
        <v>0</v>
      </c>
      <c r="AE13" s="149">
        <v>3.0499999999999999E-2</v>
      </c>
      <c r="AF13" s="149">
        <v>5.0500000000000003E-2</v>
      </c>
      <c r="AG13" s="130">
        <v>8.5000000000000006E-3</v>
      </c>
    </row>
    <row r="14" spans="2:33" s="31" customFormat="1" ht="15.9" customHeight="1" x14ac:dyDescent="0.25">
      <c r="B14" s="21" t="s">
        <v>16</v>
      </c>
      <c r="C14" s="109">
        <v>72.599999999999994</v>
      </c>
      <c r="D14" s="109">
        <v>13.1</v>
      </c>
      <c r="E14" s="13">
        <f t="shared" si="2"/>
        <v>-59.499999999999993</v>
      </c>
      <c r="F14" s="114">
        <v>0</v>
      </c>
      <c r="G14" s="114">
        <v>0</v>
      </c>
      <c r="H14" s="13">
        <f t="shared" si="3"/>
        <v>0</v>
      </c>
      <c r="I14" s="22">
        <f>+'Funding-Target vs Position'!K26</f>
        <v>1.335</v>
      </c>
      <c r="J14" s="8">
        <f>+'Funding-Target vs Position'!K27</f>
        <v>0</v>
      </c>
      <c r="K14" s="47" t="s">
        <v>34</v>
      </c>
      <c r="L14" s="144">
        <v>0</v>
      </c>
      <c r="M14" s="144">
        <v>0</v>
      </c>
      <c r="N14" s="45"/>
      <c r="O14" s="45">
        <f>+'Assessment Rates'!C16</f>
        <v>1.23</v>
      </c>
      <c r="P14" s="121">
        <v>1.27</v>
      </c>
      <c r="Q14" s="14">
        <f t="shared" si="4"/>
        <v>4.0000000000000036E-2</v>
      </c>
      <c r="R14" s="75" t="s">
        <v>34</v>
      </c>
      <c r="S14" s="128">
        <v>7.8100000000000003E-2</v>
      </c>
      <c r="T14" s="128">
        <v>8.0100000000000005E-2</v>
      </c>
      <c r="U14" s="13">
        <f t="shared" si="5"/>
        <v>2.0000000000000018E-3</v>
      </c>
      <c r="V14" s="168">
        <v>1.9099999999999999E-2</v>
      </c>
      <c r="W14" s="139">
        <v>2.46E-2</v>
      </c>
      <c r="X14" s="23">
        <f t="shared" si="0"/>
        <v>5.5000000000000014E-3</v>
      </c>
      <c r="Y14" s="128">
        <v>2.75E-2</v>
      </c>
      <c r="Z14" s="128">
        <v>2.75E-2</v>
      </c>
      <c r="AA14" s="92">
        <f t="shared" si="6"/>
        <v>0</v>
      </c>
      <c r="AB14" s="128">
        <v>0.05</v>
      </c>
      <c r="AC14" s="128">
        <v>0.05</v>
      </c>
      <c r="AD14" s="93">
        <f t="shared" si="7"/>
        <v>0</v>
      </c>
      <c r="AE14" s="168" t="s">
        <v>48</v>
      </c>
      <c r="AF14" s="150" t="s">
        <v>48</v>
      </c>
      <c r="AG14" s="131" t="e">
        <f t="shared" si="1"/>
        <v>#VALUE!</v>
      </c>
    </row>
    <row r="15" spans="2:33" s="31" customFormat="1" ht="15.9" customHeight="1" x14ac:dyDescent="0.25">
      <c r="B15" s="15" t="s">
        <v>0</v>
      </c>
      <c r="C15" s="107">
        <v>-9.0489999999999995</v>
      </c>
      <c r="D15" s="107">
        <v>-1518</v>
      </c>
      <c r="E15" s="13">
        <f t="shared" si="2"/>
        <v>-1508.951</v>
      </c>
      <c r="F15" s="113">
        <v>110.995</v>
      </c>
      <c r="G15" s="113">
        <v>135.4</v>
      </c>
      <c r="H15" s="9">
        <f t="shared" si="3"/>
        <v>24.405000000000001</v>
      </c>
      <c r="I15" s="16">
        <v>1.204</v>
      </c>
      <c r="J15" s="8">
        <v>1.081</v>
      </c>
      <c r="K15" s="48" t="s">
        <v>34</v>
      </c>
      <c r="L15" s="143">
        <v>0</v>
      </c>
      <c r="M15" s="143">
        <v>0</v>
      </c>
      <c r="N15" s="42">
        <v>1.1499999999999999</v>
      </c>
      <c r="O15" s="42">
        <v>1.17</v>
      </c>
      <c r="P15" s="119">
        <v>1.26</v>
      </c>
      <c r="Q15" s="10">
        <f t="shared" si="4"/>
        <v>9.000000000000008E-2</v>
      </c>
      <c r="R15" s="74" t="s">
        <v>34</v>
      </c>
      <c r="S15" s="140">
        <v>8.8314238362876496E-2</v>
      </c>
      <c r="T15" s="140">
        <v>8.2098749246138913E-2</v>
      </c>
      <c r="U15" s="9">
        <f t="shared" si="5"/>
        <v>-6.2154891167375825E-3</v>
      </c>
      <c r="V15" s="165">
        <v>6.1972656249999813E-2</v>
      </c>
      <c r="W15" s="124">
        <v>0.14069483015467243</v>
      </c>
      <c r="X15" s="17">
        <f t="shared" si="0"/>
        <v>7.8722173904672621E-2</v>
      </c>
      <c r="Y15" s="124">
        <v>2.5000000000000001E-2</v>
      </c>
      <c r="Z15" s="124">
        <v>0.03</v>
      </c>
      <c r="AA15" s="90">
        <f t="shared" si="6"/>
        <v>4.9999999999999975E-3</v>
      </c>
      <c r="AB15" s="126">
        <v>4.5499999999999999E-2</v>
      </c>
      <c r="AC15" s="126">
        <v>5.0599999999999999E-2</v>
      </c>
      <c r="AD15" s="96">
        <f t="shared" si="7"/>
        <v>5.1000000000000004E-3</v>
      </c>
      <c r="AE15" s="165">
        <v>3.2000000000000001E-2</v>
      </c>
      <c r="AF15" s="148">
        <v>5.2999999999999999E-2</v>
      </c>
      <c r="AG15" s="130">
        <f t="shared" si="1"/>
        <v>2.0999999999999998E-2</v>
      </c>
    </row>
    <row r="16" spans="2:33" s="31" customFormat="1" ht="15.9" customHeight="1" x14ac:dyDescent="0.25">
      <c r="B16" s="11" t="s">
        <v>12</v>
      </c>
      <c r="C16" s="106">
        <v>1026.9000000000001</v>
      </c>
      <c r="D16" s="106">
        <v>-3632.3</v>
      </c>
      <c r="E16" s="13">
        <f t="shared" si="2"/>
        <v>-4659.2000000000007</v>
      </c>
      <c r="F16" s="112">
        <v>344.1</v>
      </c>
      <c r="G16" s="112">
        <v>370.6</v>
      </c>
      <c r="H16" s="13">
        <f t="shared" si="3"/>
        <v>26.5</v>
      </c>
      <c r="I16" s="12">
        <f>+'[1]Funding-Target vs Position'!M26</f>
        <v>1.657</v>
      </c>
      <c r="J16" s="8">
        <f>+'[1]Funding-Target vs Position'!M27</f>
        <v>1.383</v>
      </c>
      <c r="K16" s="47" t="s">
        <v>34</v>
      </c>
      <c r="L16" s="142">
        <v>0</v>
      </c>
      <c r="M16" s="142">
        <v>0</v>
      </c>
      <c r="N16" s="41"/>
      <c r="O16" s="41">
        <f>+'[1]Assessment Rates'!D18</f>
        <v>1.55</v>
      </c>
      <c r="P16" s="118">
        <v>1.55</v>
      </c>
      <c r="Q16" s="14">
        <f t="shared" si="4"/>
        <v>0</v>
      </c>
      <c r="R16" s="75" t="s">
        <v>34</v>
      </c>
      <c r="S16" s="123">
        <v>4.1399999999999999E-2</v>
      </c>
      <c r="T16" s="123">
        <v>4.1399999999999999E-2</v>
      </c>
      <c r="U16" s="13">
        <f t="shared" si="5"/>
        <v>0</v>
      </c>
      <c r="V16" s="164">
        <v>3.0700000000000002E-2</v>
      </c>
      <c r="W16" s="123">
        <v>1.7299999999999999E-2</v>
      </c>
      <c r="X16" s="13">
        <f t="shared" si="0"/>
        <v>-1.3400000000000002E-2</v>
      </c>
      <c r="Y16" s="123">
        <v>2.4E-2</v>
      </c>
      <c r="Z16" s="123">
        <v>2.6499999999999999E-2</v>
      </c>
      <c r="AA16" s="92">
        <f t="shared" si="6"/>
        <v>2.4999999999999988E-3</v>
      </c>
      <c r="AB16" s="123">
        <v>4.3999999999999997E-2</v>
      </c>
      <c r="AC16" s="123">
        <v>4.65E-2</v>
      </c>
      <c r="AD16" s="93">
        <f t="shared" si="7"/>
        <v>2.5000000000000022E-3</v>
      </c>
      <c r="AE16" s="164">
        <v>3.1E-2</v>
      </c>
      <c r="AF16" s="147">
        <v>5.0999999999999997E-2</v>
      </c>
      <c r="AG16" s="131">
        <f t="shared" si="1"/>
        <v>1.9999999999999997E-2</v>
      </c>
    </row>
    <row r="17" spans="2:33" s="31" customFormat="1" ht="15.9" customHeight="1" x14ac:dyDescent="0.25">
      <c r="B17" s="15" t="s">
        <v>5</v>
      </c>
      <c r="C17" s="107">
        <v>19.100000000000001</v>
      </c>
      <c r="D17" s="107" t="s">
        <v>59</v>
      </c>
      <c r="E17" s="9" t="e">
        <f t="shared" si="2"/>
        <v>#VALUE!</v>
      </c>
      <c r="F17" s="113">
        <v>0</v>
      </c>
      <c r="G17" s="113"/>
      <c r="H17" s="9">
        <f t="shared" si="3"/>
        <v>0</v>
      </c>
      <c r="I17" s="16">
        <f>+'[2]Funding-Target vs Position'!N26</f>
        <v>0</v>
      </c>
      <c r="J17" s="8">
        <f>+'[2]Funding-Target vs Position'!N27</f>
        <v>0</v>
      </c>
      <c r="K17" s="48" t="s">
        <v>34</v>
      </c>
      <c r="L17" s="143">
        <v>0</v>
      </c>
      <c r="M17" s="143">
        <v>0</v>
      </c>
      <c r="N17" s="42"/>
      <c r="O17" s="42">
        <f>+'[2]Assessment Rates'!D19</f>
        <v>2.0699999999999998</v>
      </c>
      <c r="P17" s="119">
        <v>2.0699999999999998</v>
      </c>
      <c r="Q17" s="193">
        <f>P17-O17</f>
        <v>0</v>
      </c>
      <c r="R17" s="74" t="s">
        <v>34</v>
      </c>
      <c r="S17" s="140">
        <v>0.12</v>
      </c>
      <c r="T17" s="140"/>
      <c r="U17" s="9">
        <f t="shared" si="5"/>
        <v>-0.12</v>
      </c>
      <c r="V17" s="165">
        <v>0</v>
      </c>
      <c r="W17" s="124"/>
      <c r="X17" s="17">
        <f t="shared" si="0"/>
        <v>0</v>
      </c>
      <c r="Y17" s="124">
        <v>2.9000000000000001E-2</v>
      </c>
      <c r="Z17" s="124"/>
      <c r="AA17" s="90">
        <f t="shared" si="6"/>
        <v>-2.9000000000000001E-2</v>
      </c>
      <c r="AB17" s="126">
        <v>5.1499999999999997E-2</v>
      </c>
      <c r="AC17" s="126"/>
      <c r="AD17" s="96">
        <f t="shared" si="7"/>
        <v>-5.1499999999999997E-2</v>
      </c>
      <c r="AE17" s="165" t="s">
        <v>59</v>
      </c>
      <c r="AF17" s="148" t="s">
        <v>59</v>
      </c>
      <c r="AG17" s="130" t="e">
        <f t="shared" si="1"/>
        <v>#VALUE!</v>
      </c>
    </row>
    <row r="18" spans="2:33" s="31" customFormat="1" ht="15.9" customHeight="1" thickBot="1" x14ac:dyDescent="0.3">
      <c r="B18" s="24" t="s">
        <v>4</v>
      </c>
      <c r="C18" s="110">
        <v>22.5</v>
      </c>
      <c r="D18" s="110">
        <v>-30.6</v>
      </c>
      <c r="E18" s="26">
        <f>D18-C18</f>
        <v>-53.1</v>
      </c>
      <c r="F18" s="116">
        <v>-1.1000000000000001</v>
      </c>
      <c r="G18" s="116">
        <v>0</v>
      </c>
      <c r="H18" s="13">
        <f t="shared" si="3"/>
        <v>1.1000000000000001</v>
      </c>
      <c r="I18" s="25">
        <f>+'Funding-Target vs Position'!O26</f>
        <v>1.1000000000000001</v>
      </c>
      <c r="J18" s="8">
        <f>+'Funding-Target vs Position'!O27</f>
        <v>1</v>
      </c>
      <c r="K18" s="49" t="s">
        <v>34</v>
      </c>
      <c r="L18" s="146">
        <v>0</v>
      </c>
      <c r="M18" s="146">
        <v>0</v>
      </c>
      <c r="N18" s="44"/>
      <c r="O18" s="44">
        <f>+'Assessment Rates'!C20</f>
        <v>2.4</v>
      </c>
      <c r="P18" s="122">
        <v>2.4</v>
      </c>
      <c r="Q18" s="27">
        <f>P18-O18</f>
        <v>0</v>
      </c>
      <c r="R18" s="76" t="s">
        <v>34</v>
      </c>
      <c r="S18" s="135">
        <v>7.4999999999999997E-2</v>
      </c>
      <c r="T18" s="135">
        <v>7.0000000000000007E-2</v>
      </c>
      <c r="U18" s="26">
        <f>T18-S18</f>
        <v>-4.9999999999999906E-3</v>
      </c>
      <c r="V18" s="169">
        <v>0.01</v>
      </c>
      <c r="W18" s="135">
        <v>0.2666</v>
      </c>
      <c r="X18" s="26">
        <f t="shared" si="0"/>
        <v>0.25659999999999999</v>
      </c>
      <c r="Y18" s="135">
        <v>3.2500000000000001E-2</v>
      </c>
      <c r="Z18" s="135">
        <v>3.2500000000000001E-2</v>
      </c>
      <c r="AA18" s="97">
        <f>Z18-Y18</f>
        <v>0</v>
      </c>
      <c r="AB18" s="137">
        <v>5.2499999999999998E-2</v>
      </c>
      <c r="AC18" s="137">
        <v>5.2499999999999998E-2</v>
      </c>
      <c r="AD18" s="98">
        <f>AC18-AB18</f>
        <v>0</v>
      </c>
      <c r="AE18" s="169">
        <v>3.2500000000000001E-2</v>
      </c>
      <c r="AF18" s="151">
        <v>3.2500000000000001E-2</v>
      </c>
      <c r="AG18" s="132">
        <f t="shared" si="1"/>
        <v>0</v>
      </c>
    </row>
    <row r="19" spans="2:33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3" ht="19.5" customHeight="1" x14ac:dyDescent="0.25">
      <c r="C20" s="176" t="s">
        <v>49</v>
      </c>
      <c r="D20" s="177"/>
      <c r="E20" s="177"/>
      <c r="F20" s="177"/>
      <c r="G20" s="177"/>
      <c r="H20" s="177"/>
      <c r="I20" s="178"/>
      <c r="W20" s="5"/>
      <c r="X20" s="5"/>
      <c r="Y20" s="5"/>
      <c r="Z20" s="5"/>
      <c r="AA20" s="5"/>
      <c r="AB20" s="5"/>
      <c r="AC20" s="5"/>
      <c r="AD20" s="5"/>
    </row>
    <row r="21" spans="2:33" x14ac:dyDescent="0.25">
      <c r="B21" s="5"/>
    </row>
    <row r="22" spans="2:33" x14ac:dyDescent="0.25">
      <c r="B22" s="2"/>
      <c r="C22" s="194" t="s">
        <v>63</v>
      </c>
      <c r="D22" s="2"/>
      <c r="E22" s="2"/>
      <c r="F22" s="2"/>
      <c r="G22" s="2"/>
      <c r="R22" s="67"/>
      <c r="S22" s="67"/>
    </row>
    <row r="23" spans="2:33" x14ac:dyDescent="0.25">
      <c r="V23" s="67"/>
      <c r="W23" s="67"/>
    </row>
    <row r="24" spans="2:33" x14ac:dyDescent="0.25">
      <c r="B24" s="2"/>
      <c r="C24" s="2"/>
      <c r="D24" s="2"/>
      <c r="E24" s="2"/>
      <c r="F24" s="2"/>
      <c r="G24" s="2"/>
      <c r="H24" s="2"/>
    </row>
  </sheetData>
  <sheetProtection selectLockedCells="1" selectUnlockedCells="1"/>
  <mergeCells count="24">
    <mergeCell ref="AE3:AG4"/>
    <mergeCell ref="AE5:AG5"/>
    <mergeCell ref="V5:X5"/>
    <mergeCell ref="L5:M5"/>
    <mergeCell ref="F5:H5"/>
    <mergeCell ref="Y5:AA5"/>
    <mergeCell ref="AB5:AD5"/>
    <mergeCell ref="J5:J6"/>
    <mergeCell ref="N5:N6"/>
    <mergeCell ref="N3:R4"/>
    <mergeCell ref="B1:AD1"/>
    <mergeCell ref="I3:M4"/>
    <mergeCell ref="I5:I6"/>
    <mergeCell ref="O5:O6"/>
    <mergeCell ref="K5:K6"/>
    <mergeCell ref="Q5:Q6"/>
    <mergeCell ref="C3:H4"/>
    <mergeCell ref="S5:U5"/>
    <mergeCell ref="S3:U4"/>
    <mergeCell ref="C5:E5"/>
    <mergeCell ref="P5:P6"/>
    <mergeCell ref="R5:R6"/>
    <mergeCell ref="Y3:AD4"/>
    <mergeCell ref="V3:X4"/>
  </mergeCells>
  <conditionalFormatting sqref="E7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E8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E9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E11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E12:E13 E18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E14:E15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E16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17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H7 H12:H13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H8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H9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H10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H11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H14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H15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H16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H17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H18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Q7:R7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Q8:R8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Q9:R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Q10:R10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Q11:R1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Q12:R13 Q18:R18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Q14:R14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Q15:R15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Q16:R16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Q17:R17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U7 U12:U13 U18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U8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U9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U10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U11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U1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U15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U1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U17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X7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X8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X9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X10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X11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X12:X13 X18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X14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X15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X16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X1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AA7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AA8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AA9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AA10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AA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AA12:AA13 AA18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AA14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AA15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AA1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AA17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AD7 AD12:AD13 AD18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AD8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AD9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AD10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AD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AD14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AD15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AD16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AD17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AG7 AG12:AG13 AG18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AG8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AG9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AG10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AG11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AG14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AG15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AG1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AG17">
    <cfRule type="iconSet" priority="2">
      <iconSet iconSet="3Arrows">
        <cfvo type="percent" val="0"/>
        <cfvo type="num" val="0"/>
        <cfvo type="num" val="0" gte="0"/>
      </iconSet>
    </cfRule>
  </conditionalFormatting>
  <hyperlinks>
    <hyperlink ref="K8:K18" location="'Funding-Target vs Position'!A1" display="More" xr:uid="{00000000-0004-0000-0000-000000000000}"/>
    <hyperlink ref="R12" location="'Assessment Rates'!A1" display="More" xr:uid="{00000000-0004-0000-0000-000001000000}"/>
    <hyperlink ref="R13" location="'Assessment Rates'!A1" display="More" xr:uid="{00000000-0004-0000-0000-000002000000}"/>
    <hyperlink ref="R18" location="'Assessment Rates'!A1" display="More" xr:uid="{00000000-0004-0000-0000-000003000000}"/>
    <hyperlink ref="K8" location="'Funding-Target vs Position'!A1" display="More" xr:uid="{00000000-0004-0000-0000-000004000000}"/>
    <hyperlink ref="R8" location="'Assessment Rates'!A1" display="More" xr:uid="{00000000-0004-0000-0000-000005000000}"/>
    <hyperlink ref="K10" location="'Funding-Target vs Position'!A1" display="More" xr:uid="{00000000-0004-0000-0000-000006000000}"/>
    <hyperlink ref="R10" location="'Assessment Rates'!A1" display="More" xr:uid="{00000000-0004-0000-0000-000007000000}"/>
    <hyperlink ref="K14" location="'Funding-Target vs Position'!A1" display="More" xr:uid="{00000000-0004-0000-0000-000008000000}"/>
    <hyperlink ref="R14" location="'Assessment Rates'!A1" display="More" xr:uid="{00000000-0004-0000-0000-000009000000}"/>
    <hyperlink ref="K9" location="'Funding-Target vs Position'!A1" display="More" xr:uid="{00000000-0004-0000-0000-00000A000000}"/>
    <hyperlink ref="R9" location="'Assessment Rates'!A1" display="More" xr:uid="{00000000-0004-0000-0000-00000B000000}"/>
    <hyperlink ref="K15" location="'Funding-Target vs Position'!A1" display="More" xr:uid="{00000000-0004-0000-0000-00000C000000}"/>
    <hyperlink ref="R15" location="'Assessment Rates'!A1" display="More" xr:uid="{00000000-0004-0000-0000-00000D000000}"/>
    <hyperlink ref="K7" location="'Funding-Target vs Position'!A1" display="More" xr:uid="{00000000-0004-0000-0000-000012000000}"/>
    <hyperlink ref="R7" location="'Assessment Rates'!A1" display="More" xr:uid="{00000000-0004-0000-0000-000013000000}"/>
    <hyperlink ref="K11" location="'Funding-Target vs Position'!A1" display="More" xr:uid="{F5AB620C-A9BB-4E3B-B16D-5E4A99881F58}"/>
    <hyperlink ref="R11" location="'Assessment Rates'!A1" display="More" xr:uid="{D2644136-419D-433D-BD05-95D7A81C17B1}"/>
    <hyperlink ref="K16" location="'Funding-Target vs Position'!A1" display="More" xr:uid="{DCF7CF60-2651-4CC2-86A2-CEE73167D720}"/>
    <hyperlink ref="R16" location="'Assessment Rates'!A1" display="More" xr:uid="{4C91D46F-36FD-4680-A43F-7796BB270CCE}"/>
    <hyperlink ref="K17" location="'Funding-Target vs Position'!A1" display="More" xr:uid="{089CC7E2-5BC5-4505-A5FF-CFD765ADBFF8}"/>
    <hyperlink ref="R17" location="'Assessment Rates'!A1" display="More" xr:uid="{09C0E86E-20FD-4B4D-966D-3CBD75CA927A}"/>
  </hyperlinks>
  <pageMargins left="0.2" right="0.2" top="0.5" bottom="0.5" header="0.3" footer="0.3"/>
  <pageSetup scale="75" fitToHeight="0" orientation="landscape" r:id="rId1"/>
  <headerFooter>
    <oddFooter>&amp;C&amp;"Arial,Italic"***Note: Not all information is published. &amp;"Arial,Bold Italic"Not for circulation outside of this Committee&amp;"Arial,Italic".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61"/>
  <sheetViews>
    <sheetView showGridLines="0" topLeftCell="E12" zoomScale="90" zoomScaleNormal="90" workbookViewId="0">
      <selection activeCell="H23" sqref="H23:H30"/>
    </sheetView>
  </sheetViews>
  <sheetFormatPr defaultRowHeight="13.8" x14ac:dyDescent="0.25"/>
  <cols>
    <col min="1" max="1" width="0.90625" customWidth="1"/>
    <col min="2" max="2" width="3.453125" style="33" customWidth="1"/>
    <col min="3" max="3" width="13.08984375" customWidth="1"/>
    <col min="4" max="15" width="7" customWidth="1"/>
  </cols>
  <sheetData>
    <row r="1" spans="2:15" ht="24" thickBot="1" x14ac:dyDescent="0.5">
      <c r="B1" s="254" t="str">
        <f>"Funding Target and Position at "&amp;Prior_Yr&amp;" Year End"</f>
        <v>Funding Target and Position at 2021 Year End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2:15" ht="12" customHeight="1" x14ac:dyDescent="0.25"/>
    <row r="3" spans="2:15" ht="12" customHeight="1" x14ac:dyDescent="0.25"/>
    <row r="4" spans="2:15" ht="12" customHeight="1" x14ac:dyDescent="0.25"/>
    <row r="5" spans="2:15" ht="12" customHeight="1" x14ac:dyDescent="0.25"/>
    <row r="6" spans="2:15" ht="12" customHeight="1" x14ac:dyDescent="0.25"/>
    <row r="7" spans="2:15" ht="12" customHeight="1" x14ac:dyDescent="0.25"/>
    <row r="8" spans="2:15" ht="12" customHeight="1" x14ac:dyDescent="0.25"/>
    <row r="9" spans="2:15" ht="12" customHeight="1" x14ac:dyDescent="0.25"/>
    <row r="10" spans="2:15" ht="12" customHeight="1" x14ac:dyDescent="0.25"/>
    <row r="11" spans="2:15" ht="12" customHeight="1" x14ac:dyDescent="0.25"/>
    <row r="12" spans="2:15" ht="12" customHeight="1" x14ac:dyDescent="0.25"/>
    <row r="13" spans="2:15" ht="12" customHeight="1" x14ac:dyDescent="0.25"/>
    <row r="14" spans="2:15" ht="12" customHeight="1" x14ac:dyDescent="0.25"/>
    <row r="15" spans="2:15" ht="12" customHeight="1" x14ac:dyDescent="0.25"/>
    <row r="16" spans="2:15" ht="12" customHeight="1" x14ac:dyDescent="0.25"/>
    <row r="17" spans="2:15" ht="12" customHeight="1" x14ac:dyDescent="0.25"/>
    <row r="18" spans="2:15" ht="12" customHeight="1" x14ac:dyDescent="0.25"/>
    <row r="19" spans="2:15" ht="12" customHeight="1" x14ac:dyDescent="0.25"/>
    <row r="20" spans="2:15" ht="12" customHeight="1" x14ac:dyDescent="0.25"/>
    <row r="21" spans="2:15" ht="12" customHeight="1" x14ac:dyDescent="0.25"/>
    <row r="22" spans="2:15" ht="4.2" customHeight="1" x14ac:dyDescent="0.25"/>
    <row r="23" spans="2:15" ht="18.75" customHeight="1" x14ac:dyDescent="0.25">
      <c r="B23" s="83" t="s">
        <v>24</v>
      </c>
      <c r="C23" s="170" t="s">
        <v>19</v>
      </c>
      <c r="D23" s="100">
        <v>1.2</v>
      </c>
      <c r="E23" s="100">
        <v>1.25</v>
      </c>
      <c r="F23" s="100"/>
      <c r="G23" s="100">
        <v>1.25</v>
      </c>
      <c r="H23" s="100">
        <v>1.1000000000000001</v>
      </c>
      <c r="I23" s="100" t="s">
        <v>40</v>
      </c>
      <c r="J23" s="100"/>
      <c r="K23" s="100">
        <v>1.2</v>
      </c>
      <c r="L23" s="100">
        <v>1.28</v>
      </c>
      <c r="M23" s="100"/>
      <c r="N23" s="100">
        <v>1.29</v>
      </c>
      <c r="O23" s="100">
        <v>1.4</v>
      </c>
    </row>
    <row r="24" spans="2:15" ht="18.75" customHeight="1" x14ac:dyDescent="0.25">
      <c r="B24" s="82" t="s">
        <v>23</v>
      </c>
      <c r="C24" s="99" t="s">
        <v>20</v>
      </c>
      <c r="D24" s="189">
        <v>1.1000000000000001</v>
      </c>
      <c r="E24" s="101"/>
      <c r="F24" s="101" t="s">
        <v>40</v>
      </c>
      <c r="G24" s="101"/>
      <c r="H24" s="101">
        <v>1</v>
      </c>
      <c r="I24" s="101" t="s">
        <v>40</v>
      </c>
      <c r="J24" s="101">
        <v>1.3</v>
      </c>
      <c r="K24" s="101"/>
      <c r="L24" s="101"/>
      <c r="M24" s="101">
        <v>1.3</v>
      </c>
      <c r="N24" s="101">
        <v>1.25</v>
      </c>
      <c r="O24" s="101">
        <v>1.25</v>
      </c>
    </row>
    <row r="25" spans="2:15" ht="18.75" customHeight="1" x14ac:dyDescent="0.25">
      <c r="B25" s="81" t="s">
        <v>25</v>
      </c>
      <c r="C25" s="170" t="s">
        <v>18</v>
      </c>
      <c r="D25" s="190">
        <v>1</v>
      </c>
      <c r="E25" s="102">
        <v>1</v>
      </c>
      <c r="F25" s="102"/>
      <c r="G25" s="102">
        <v>1.1499999999999999</v>
      </c>
      <c r="H25" s="102">
        <v>0.95</v>
      </c>
      <c r="I25" s="102">
        <v>1</v>
      </c>
      <c r="J25" s="102"/>
      <c r="K25" s="102">
        <v>1.05</v>
      </c>
      <c r="L25" s="102">
        <v>1.1399999999999999</v>
      </c>
      <c r="M25" s="102"/>
      <c r="N25" s="102">
        <v>1.21</v>
      </c>
      <c r="O25" s="102">
        <v>1.1000000000000001</v>
      </c>
    </row>
    <row r="26" spans="2:15" ht="19.95" customHeight="1" x14ac:dyDescent="0.3">
      <c r="B26" s="172" t="s">
        <v>26</v>
      </c>
      <c r="C26" s="50" t="str">
        <f>Prior_Yr&amp;" IFRS"</f>
        <v>2021 IFRS</v>
      </c>
      <c r="D26" s="187">
        <v>1.323</v>
      </c>
      <c r="E26" s="187">
        <f>268368/163418</f>
        <v>1.6422181155074715</v>
      </c>
      <c r="F26" s="187">
        <v>1.0640000000000001</v>
      </c>
      <c r="G26" s="187">
        <v>1.4750000000000001</v>
      </c>
      <c r="H26" s="187">
        <v>1.206</v>
      </c>
      <c r="I26" s="187">
        <v>1.246</v>
      </c>
      <c r="J26" s="187">
        <v>1.504</v>
      </c>
      <c r="K26" s="187">
        <v>1.335</v>
      </c>
      <c r="L26" s="187">
        <v>1.204</v>
      </c>
      <c r="M26" s="187">
        <v>1.657</v>
      </c>
      <c r="N26" s="187"/>
      <c r="O26" s="187">
        <v>1.1000000000000001</v>
      </c>
    </row>
    <row r="27" spans="2:15" ht="15.6" x14ac:dyDescent="0.3">
      <c r="B27" s="172"/>
      <c r="C27" s="50" t="str">
        <f>Prior_Yr+1&amp;" IFRS forecast"</f>
        <v>2022 IFRS forecast</v>
      </c>
      <c r="D27" s="187">
        <v>1.1619999999999999</v>
      </c>
      <c r="E27" s="187"/>
      <c r="F27" s="187">
        <v>1</v>
      </c>
      <c r="G27" s="187">
        <v>1.4770000000000001</v>
      </c>
      <c r="H27" s="187">
        <v>1.0089999999999999</v>
      </c>
      <c r="I27" s="187"/>
      <c r="J27" s="187">
        <v>1.452</v>
      </c>
      <c r="K27" s="187"/>
      <c r="L27" s="187">
        <v>1.081</v>
      </c>
      <c r="M27" s="187">
        <v>1.383</v>
      </c>
      <c r="N27" s="187"/>
      <c r="O27" s="187">
        <v>1</v>
      </c>
    </row>
    <row r="28" spans="2:15" ht="21.75" customHeight="1" x14ac:dyDescent="0.3">
      <c r="B28" s="179" t="s">
        <v>57</v>
      </c>
      <c r="C28" s="99"/>
      <c r="D28" s="9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2:15" ht="14.4" x14ac:dyDescent="0.3">
      <c r="B29" s="174" t="s">
        <v>37</v>
      </c>
      <c r="C29" s="192" t="str">
        <f>Prior_Yr&amp;" NON-IFRS"</f>
        <v>2021 NON-IFRS</v>
      </c>
      <c r="D29" s="191"/>
      <c r="E29" s="175"/>
      <c r="F29" s="175"/>
      <c r="G29" s="175"/>
      <c r="H29" s="173">
        <v>1.357</v>
      </c>
      <c r="I29" s="173">
        <v>1.212</v>
      </c>
      <c r="J29" s="175"/>
      <c r="K29" s="173">
        <v>1.0760000000000001</v>
      </c>
      <c r="L29" s="175"/>
      <c r="M29" s="173">
        <v>1.5469999999999999</v>
      </c>
      <c r="N29" s="175"/>
      <c r="O29" s="175"/>
    </row>
    <row r="30" spans="2:15" ht="14.4" x14ac:dyDescent="0.3">
      <c r="B30" s="84"/>
      <c r="C30" s="188" t="str">
        <f>Prior_Yr+1&amp;" NON-IFRS Forecast"</f>
        <v>2022 NON-IFRS Forecast</v>
      </c>
      <c r="D30" s="171"/>
      <c r="E30" s="103"/>
      <c r="F30" s="103"/>
      <c r="G30" s="103"/>
      <c r="H30" s="173">
        <v>1.216</v>
      </c>
      <c r="I30" s="173">
        <v>1.1419999999999999</v>
      </c>
      <c r="J30" s="103"/>
      <c r="K30" s="173">
        <v>1.081</v>
      </c>
      <c r="L30" s="103"/>
      <c r="M30" s="173">
        <v>1.4279999999999999</v>
      </c>
      <c r="N30" s="103"/>
      <c r="O30" s="103"/>
    </row>
    <row r="31" spans="2:15" ht="8.25" customHeight="1" thickBot="1" x14ac:dyDescent="0.35">
      <c r="B31" s="53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2:15" ht="15.75" customHeight="1" x14ac:dyDescent="0.25">
      <c r="B32" s="183" t="s">
        <v>38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5"/>
    </row>
    <row r="33" spans="2:15" ht="15.75" customHeight="1" x14ac:dyDescent="0.3">
      <c r="B33" s="186">
        <v>1</v>
      </c>
      <c r="C33" s="50" t="s">
        <v>50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85"/>
    </row>
    <row r="34" spans="2:15" ht="14.4" x14ac:dyDescent="0.3">
      <c r="B34" s="186">
        <v>2</v>
      </c>
      <c r="C34" s="50" t="str">
        <f>"Input "&amp;Prior_Yr&amp;" IFRS ratio of IFRS Assets/IFRS Liabilities per "&amp;Prior_Yr&amp;" audited balance sheet):  ALL JURISDICTIONS"</f>
        <v>Input 2021 IFRS ratio of IFRS Assets/IFRS Liabilities per 2021 audited balance sheet):  ALL JURISDICTIONS</v>
      </c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85"/>
    </row>
    <row r="35" spans="2:15" ht="14.4" x14ac:dyDescent="0.3">
      <c r="B35" s="186">
        <v>3</v>
      </c>
      <c r="C35" s="50" t="str">
        <f>"Input "&amp;Prior_Yr+1&amp;" IFRS ratio of IFRS Assets/IFRS Liabilities per "&amp;Prior_Yr+1&amp;" forecast balance sheet):  ALL JURISDICTIONS"</f>
        <v>Input 2022 IFRS ratio of IFRS Assets/IFRS Liabilities per 2022 forecast balance sheet):  ALL JURISDICTIONS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85"/>
    </row>
    <row r="36" spans="2:15" ht="14.4" x14ac:dyDescent="0.3">
      <c r="B36" s="186">
        <v>4</v>
      </c>
      <c r="C36" s="50" t="str">
        <f>"Input "&amp;Prior_Yr&amp;" &amp; "&amp;Prior_Yr+1&amp;" NON-IFRS, if applicable - i.e.:  if funding policy uses a % other than Assets/Liabilities to determine funding. "</f>
        <v xml:space="preserve">Input 2021 &amp; 2022 NON-IFRS, if applicable - i.e.:  if funding policy uses a % other than Assets/Liabilities to determine funding. 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85"/>
    </row>
    <row r="37" spans="2:15" ht="15.75" customHeight="1" thickBot="1" x14ac:dyDescent="0.35">
      <c r="B37" s="86"/>
      <c r="C37" s="87" t="s">
        <v>58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</row>
    <row r="38" spans="2:15" ht="15.75" customHeight="1" x14ac:dyDescent="0.3">
      <c r="B38" s="5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2:15" ht="15.75" customHeight="1" x14ac:dyDescent="0.3">
      <c r="B39" s="53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2:15" s="55" customFormat="1" ht="15.75" customHeight="1" x14ac:dyDescent="0.3">
      <c r="B40" s="60" t="s">
        <v>36</v>
      </c>
      <c r="C40" s="61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2:15" x14ac:dyDescent="0.25">
      <c r="C41" s="55" t="s">
        <v>21</v>
      </c>
      <c r="D41" s="55" t="s">
        <v>51</v>
      </c>
      <c r="E41" s="55" t="s">
        <v>20</v>
      </c>
      <c r="F41" s="55" t="s">
        <v>18</v>
      </c>
      <c r="G41" s="55" t="s">
        <v>22</v>
      </c>
      <c r="H41" s="55" t="s">
        <v>52</v>
      </c>
      <c r="I41" s="55" t="s">
        <v>19</v>
      </c>
    </row>
    <row r="42" spans="2:15" x14ac:dyDescent="0.25">
      <c r="C42" s="55" t="s">
        <v>3</v>
      </c>
      <c r="D42" s="56">
        <f>D26</f>
        <v>1.323</v>
      </c>
      <c r="E42" s="56">
        <f>D24</f>
        <v>1.1000000000000001</v>
      </c>
      <c r="F42" s="56">
        <f>D25</f>
        <v>1</v>
      </c>
      <c r="G42" s="57">
        <f t="shared" ref="G42:G53" si="0">I42-F42</f>
        <v>0.19999999999999996</v>
      </c>
      <c r="H42" s="56">
        <f>D29</f>
        <v>0</v>
      </c>
      <c r="I42" s="56">
        <f>D23</f>
        <v>1.2</v>
      </c>
    </row>
    <row r="43" spans="2:15" x14ac:dyDescent="0.25">
      <c r="C43" s="55" t="s">
        <v>14</v>
      </c>
      <c r="D43" s="56">
        <f>E26</f>
        <v>1.6422181155074715</v>
      </c>
      <c r="E43" s="56">
        <f>E24</f>
        <v>0</v>
      </c>
      <c r="F43" s="56">
        <f>E25</f>
        <v>1</v>
      </c>
      <c r="G43" s="57">
        <f t="shared" si="0"/>
        <v>0.25</v>
      </c>
      <c r="H43" s="56">
        <f>E29</f>
        <v>0</v>
      </c>
      <c r="I43" s="56">
        <f>E23</f>
        <v>1.25</v>
      </c>
    </row>
    <row r="44" spans="2:15" x14ac:dyDescent="0.25">
      <c r="C44" s="55" t="s">
        <v>10</v>
      </c>
      <c r="D44" s="56">
        <f>F26</f>
        <v>1.0640000000000001</v>
      </c>
      <c r="E44" s="56" t="str">
        <f>F24</f>
        <v>TBD</v>
      </c>
      <c r="F44" s="56">
        <f>F25</f>
        <v>0</v>
      </c>
      <c r="G44" s="57">
        <f t="shared" si="0"/>
        <v>0</v>
      </c>
      <c r="H44" s="56">
        <f>F29</f>
        <v>0</v>
      </c>
      <c r="I44" s="56">
        <f>F23</f>
        <v>0</v>
      </c>
    </row>
    <row r="45" spans="2:15" x14ac:dyDescent="0.25">
      <c r="C45" s="55" t="s">
        <v>2</v>
      </c>
      <c r="D45" s="56">
        <f>G26</f>
        <v>1.4750000000000001</v>
      </c>
      <c r="E45" s="56">
        <f>G24</f>
        <v>0</v>
      </c>
      <c r="F45" s="56">
        <f>G25</f>
        <v>1.1499999999999999</v>
      </c>
      <c r="G45" s="57">
        <f t="shared" si="0"/>
        <v>0.10000000000000009</v>
      </c>
      <c r="H45" s="56">
        <f>G29</f>
        <v>0</v>
      </c>
      <c r="I45" s="56">
        <f>G23</f>
        <v>1.25</v>
      </c>
    </row>
    <row r="46" spans="2:15" x14ac:dyDescent="0.25">
      <c r="C46" s="55" t="s">
        <v>15</v>
      </c>
      <c r="D46" s="56">
        <f>H26</f>
        <v>1.206</v>
      </c>
      <c r="E46" s="56">
        <f>H24</f>
        <v>1</v>
      </c>
      <c r="F46" s="56">
        <f>H25</f>
        <v>0.95</v>
      </c>
      <c r="G46" s="57">
        <f t="shared" si="0"/>
        <v>0.15000000000000013</v>
      </c>
      <c r="H46" s="56">
        <f>H29</f>
        <v>1.357</v>
      </c>
      <c r="I46" s="56">
        <f>H23</f>
        <v>1.1000000000000001</v>
      </c>
    </row>
    <row r="47" spans="2:15" x14ac:dyDescent="0.25">
      <c r="C47" s="55" t="s">
        <v>13</v>
      </c>
      <c r="D47" s="56">
        <f>I26</f>
        <v>1.246</v>
      </c>
      <c r="E47" s="56" t="str">
        <f>I24</f>
        <v>TBD</v>
      </c>
      <c r="F47" s="56">
        <f>I25</f>
        <v>1</v>
      </c>
      <c r="G47" s="57" t="e">
        <f t="shared" si="0"/>
        <v>#VALUE!</v>
      </c>
      <c r="H47" s="56">
        <f>I29</f>
        <v>1.212</v>
      </c>
      <c r="I47" s="56" t="str">
        <f>I23</f>
        <v>TBD</v>
      </c>
    </row>
    <row r="48" spans="2:15" x14ac:dyDescent="0.25">
      <c r="C48" s="55" t="s">
        <v>1</v>
      </c>
      <c r="D48" s="56">
        <f>J26</f>
        <v>1.504</v>
      </c>
      <c r="E48" s="56">
        <f>J24</f>
        <v>1.3</v>
      </c>
      <c r="F48" s="56">
        <f>J25</f>
        <v>0</v>
      </c>
      <c r="G48" s="57">
        <f t="shared" si="0"/>
        <v>0</v>
      </c>
      <c r="H48" s="56">
        <f>J29</f>
        <v>0</v>
      </c>
      <c r="I48" s="56">
        <f>J23</f>
        <v>0</v>
      </c>
    </row>
    <row r="49" spans="3:15" customFormat="1" x14ac:dyDescent="0.25">
      <c r="C49" s="55" t="s">
        <v>16</v>
      </c>
      <c r="D49" s="56">
        <f>K26</f>
        <v>1.335</v>
      </c>
      <c r="E49" s="56">
        <f>K24</f>
        <v>0</v>
      </c>
      <c r="F49" s="56">
        <f>K25</f>
        <v>1.05</v>
      </c>
      <c r="G49" s="57">
        <f t="shared" si="0"/>
        <v>0.14999999999999991</v>
      </c>
      <c r="H49" s="56">
        <f>K29</f>
        <v>1.0760000000000001</v>
      </c>
      <c r="I49" s="56">
        <f>K23</f>
        <v>1.2</v>
      </c>
    </row>
    <row r="50" spans="3:15" customFormat="1" x14ac:dyDescent="0.25">
      <c r="C50" s="55" t="s">
        <v>0</v>
      </c>
      <c r="D50" s="56">
        <f>L26</f>
        <v>1.204</v>
      </c>
      <c r="E50" s="56">
        <f>L24</f>
        <v>0</v>
      </c>
      <c r="F50" s="56">
        <f>L25</f>
        <v>1.1399999999999999</v>
      </c>
      <c r="G50" s="57">
        <f t="shared" si="0"/>
        <v>0.14000000000000012</v>
      </c>
      <c r="H50" s="56">
        <f>L29</f>
        <v>0</v>
      </c>
      <c r="I50" s="56">
        <f>L23</f>
        <v>1.28</v>
      </c>
    </row>
    <row r="51" spans="3:15" customFormat="1" x14ac:dyDescent="0.25">
      <c r="C51" s="55" t="s">
        <v>12</v>
      </c>
      <c r="D51" s="56">
        <f>M26</f>
        <v>1.657</v>
      </c>
      <c r="E51" s="56">
        <f>M24</f>
        <v>1.3</v>
      </c>
      <c r="F51" s="56">
        <f>M25</f>
        <v>0</v>
      </c>
      <c r="G51" s="57">
        <f t="shared" si="0"/>
        <v>0</v>
      </c>
      <c r="H51" s="56">
        <f>M29</f>
        <v>1.5469999999999999</v>
      </c>
      <c r="I51" s="56">
        <f>M23</f>
        <v>0</v>
      </c>
    </row>
    <row r="52" spans="3:15" customFormat="1" x14ac:dyDescent="0.25">
      <c r="C52" s="55" t="s">
        <v>5</v>
      </c>
      <c r="D52" s="56">
        <f>N26</f>
        <v>0</v>
      </c>
      <c r="E52" s="56">
        <f>N24</f>
        <v>1.25</v>
      </c>
      <c r="F52" s="56">
        <f>N25</f>
        <v>1.21</v>
      </c>
      <c r="G52" s="57">
        <f t="shared" si="0"/>
        <v>8.0000000000000071E-2</v>
      </c>
      <c r="H52" s="56">
        <f>N29</f>
        <v>0</v>
      </c>
      <c r="I52" s="56">
        <f>N23</f>
        <v>1.29</v>
      </c>
    </row>
    <row r="53" spans="3:15" customFormat="1" x14ac:dyDescent="0.25">
      <c r="C53" s="55" t="s">
        <v>4</v>
      </c>
      <c r="D53" s="56">
        <f>O26</f>
        <v>1.1000000000000001</v>
      </c>
      <c r="E53" s="56">
        <f>O24</f>
        <v>1.25</v>
      </c>
      <c r="F53" s="56">
        <f>O25</f>
        <v>1.1000000000000001</v>
      </c>
      <c r="G53" s="57">
        <f t="shared" si="0"/>
        <v>0.29999999999999982</v>
      </c>
      <c r="H53" s="56">
        <f>O29</f>
        <v>0</v>
      </c>
      <c r="I53" s="56">
        <f>O23</f>
        <v>1.4</v>
      </c>
    </row>
    <row r="56" spans="3:15" customFormat="1" x14ac:dyDescent="0.25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3:15" customFormat="1" x14ac:dyDescent="0.25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3:15" customFormat="1" x14ac:dyDescent="0.2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3:15" customFormat="1" x14ac:dyDescent="0.25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3:15" customFormat="1" x14ac:dyDescent="0.25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3:15" customFormat="1" x14ac:dyDescent="0.25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sheetProtection selectLockedCells="1" selectUnlockedCells="1"/>
  <mergeCells count="1">
    <mergeCell ref="B1:O1"/>
  </mergeCells>
  <pageMargins left="0.7" right="0.7" top="0.75" bottom="0.75" header="0.3" footer="0.3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4"/>
  <sheetViews>
    <sheetView showGridLines="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C13" sqref="C13:N13"/>
    </sheetView>
  </sheetViews>
  <sheetFormatPr defaultRowHeight="13.8" x14ac:dyDescent="0.25"/>
  <cols>
    <col min="1" max="1" width="1.1796875" customWidth="1"/>
    <col min="2" max="2" width="4.81640625" customWidth="1"/>
    <col min="3" max="4" width="7.6328125" style="37" customWidth="1"/>
    <col min="5" max="14" width="7.6328125" style="33" customWidth="1"/>
  </cols>
  <sheetData>
    <row r="1" spans="2:16" ht="18" thickBot="1" x14ac:dyDescent="0.35">
      <c r="B1" s="195" t="s">
        <v>42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6" ht="3" customHeight="1" x14ac:dyDescent="0.3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6" x14ac:dyDescent="0.25">
      <c r="B3" s="263" t="str">
        <f>Prior_Yr&amp;" vs "&amp;Prior_Yr+1&amp;" comparison of components per AWCBC definitions"</f>
        <v>2021 vs 2022 comparison of components per AWCBC definitions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6" ht="8.25" customHeight="1" thickBot="1" x14ac:dyDescent="0.3">
      <c r="B4" s="1"/>
      <c r="C4" s="35"/>
      <c r="D4" s="35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6" ht="9.4499999999999993" customHeight="1" x14ac:dyDescent="0.25">
      <c r="B5" s="5"/>
      <c r="C5" s="257" t="s">
        <v>27</v>
      </c>
      <c r="D5" s="258"/>
      <c r="E5" s="267" t="s">
        <v>28</v>
      </c>
      <c r="F5" s="268"/>
      <c r="G5" s="268"/>
      <c r="H5" s="268"/>
      <c r="I5" s="268"/>
      <c r="J5" s="268"/>
      <c r="K5" s="268"/>
      <c r="L5" s="268"/>
      <c r="M5" s="268"/>
      <c r="N5" s="269"/>
    </row>
    <row r="6" spans="2:16" ht="8.6999999999999993" customHeight="1" thickBot="1" x14ac:dyDescent="0.3">
      <c r="B6" s="5"/>
      <c r="C6" s="259"/>
      <c r="D6" s="260"/>
      <c r="E6" s="270"/>
      <c r="F6" s="271"/>
      <c r="G6" s="271"/>
      <c r="H6" s="271"/>
      <c r="I6" s="271"/>
      <c r="J6" s="271"/>
      <c r="K6" s="271"/>
      <c r="L6" s="271"/>
      <c r="M6" s="271"/>
      <c r="N6" s="272"/>
    </row>
    <row r="7" spans="2:16" ht="24" customHeight="1" thickBot="1" x14ac:dyDescent="0.3">
      <c r="B7" s="5"/>
      <c r="C7" s="261"/>
      <c r="D7" s="262"/>
      <c r="E7" s="273" t="s">
        <v>29</v>
      </c>
      <c r="F7" s="274"/>
      <c r="G7" s="277" t="s">
        <v>8</v>
      </c>
      <c r="H7" s="278"/>
      <c r="I7" s="275" t="s">
        <v>30</v>
      </c>
      <c r="J7" s="276"/>
      <c r="K7" s="277" t="s">
        <v>31</v>
      </c>
      <c r="L7" s="278"/>
      <c r="M7" s="277" t="s">
        <v>32</v>
      </c>
      <c r="N7" s="279"/>
      <c r="O7" s="255" t="s">
        <v>47</v>
      </c>
      <c r="P7" s="256"/>
    </row>
    <row r="8" spans="2:16" ht="14.4" thickBot="1" x14ac:dyDescent="0.3">
      <c r="B8" s="5"/>
      <c r="C8" s="34">
        <v>2022</v>
      </c>
      <c r="D8" s="32">
        <v>2023</v>
      </c>
      <c r="E8" s="34">
        <f>+$C8</f>
        <v>2022</v>
      </c>
      <c r="F8" s="32">
        <f>+$D8</f>
        <v>2023</v>
      </c>
      <c r="G8" s="34">
        <f t="shared" ref="G8" si="0">+$C8</f>
        <v>2022</v>
      </c>
      <c r="H8" s="32">
        <f t="shared" ref="H8" si="1">+$D8</f>
        <v>2023</v>
      </c>
      <c r="I8" s="34">
        <f t="shared" ref="I8" si="2">+$C8</f>
        <v>2022</v>
      </c>
      <c r="J8" s="32">
        <f t="shared" ref="J8" si="3">+$D8</f>
        <v>2023</v>
      </c>
      <c r="K8" s="34">
        <f t="shared" ref="K8" si="4">+$C8</f>
        <v>2022</v>
      </c>
      <c r="L8" s="32">
        <f t="shared" ref="L8" si="5">+$D8</f>
        <v>2023</v>
      </c>
      <c r="M8" s="34">
        <f t="shared" ref="M8" si="6">+$C8</f>
        <v>2022</v>
      </c>
      <c r="N8" s="58">
        <f t="shared" ref="N8" si="7">+$D8</f>
        <v>2023</v>
      </c>
      <c r="O8" s="33">
        <f>+C8</f>
        <v>2022</v>
      </c>
      <c r="P8" s="33">
        <f>+D8</f>
        <v>2023</v>
      </c>
    </row>
    <row r="9" spans="2:16" x14ac:dyDescent="0.25">
      <c r="B9" s="7" t="s">
        <v>3</v>
      </c>
      <c r="C9" s="159">
        <v>1.69</v>
      </c>
      <c r="D9" s="156"/>
      <c r="E9" s="159">
        <v>1.34</v>
      </c>
      <c r="F9" s="156"/>
      <c r="G9" s="159">
        <v>0.4</v>
      </c>
      <c r="H9" s="156"/>
      <c r="I9" s="159">
        <v>0.06</v>
      </c>
      <c r="J9" s="156"/>
      <c r="K9" s="159">
        <v>-0.21</v>
      </c>
      <c r="L9" s="156"/>
      <c r="M9" s="159">
        <v>0.1</v>
      </c>
      <c r="N9" s="153"/>
      <c r="O9" s="33" t="e">
        <f>+IF(E9+G9+I9+K9+M9=#REF!,"OK","Err")</f>
        <v>#REF!</v>
      </c>
      <c r="P9" s="33" t="str">
        <f t="shared" ref="P9:P20" si="8">+IF(F9+H9+J9+L9+N9=C9,"OK","Err")</f>
        <v>Err</v>
      </c>
    </row>
    <row r="10" spans="2:16" x14ac:dyDescent="0.25">
      <c r="B10" s="11" t="s">
        <v>14</v>
      </c>
      <c r="C10" s="160">
        <v>1.43</v>
      </c>
      <c r="D10" s="152"/>
      <c r="E10" s="160">
        <v>1.18</v>
      </c>
      <c r="F10" s="152"/>
      <c r="G10" s="160">
        <v>0.39</v>
      </c>
      <c r="H10" s="152"/>
      <c r="I10" s="160">
        <v>0.06</v>
      </c>
      <c r="J10" s="152"/>
      <c r="K10" s="160">
        <v>-0.13</v>
      </c>
      <c r="L10" s="152"/>
      <c r="M10" s="160">
        <v>7.0000000000000007E-2</v>
      </c>
      <c r="N10" s="154"/>
      <c r="O10" s="33" t="e">
        <f>+IF(E10+G10+I10+K10+M10=#REF!,"OK","Err")</f>
        <v>#REF!</v>
      </c>
      <c r="P10" s="33" t="str">
        <f t="shared" si="8"/>
        <v>Err</v>
      </c>
    </row>
    <row r="11" spans="2:16" x14ac:dyDescent="0.25">
      <c r="B11" s="15" t="s">
        <v>10</v>
      </c>
      <c r="C11" s="161">
        <v>2.65</v>
      </c>
      <c r="D11" s="157">
        <v>2.65</v>
      </c>
      <c r="E11" s="161">
        <v>1.81</v>
      </c>
      <c r="F11" s="157">
        <v>1.78</v>
      </c>
      <c r="G11" s="161">
        <v>0.5</v>
      </c>
      <c r="H11" s="157">
        <v>0.53</v>
      </c>
      <c r="I11" s="161">
        <v>0.11</v>
      </c>
      <c r="J11" s="157">
        <v>0.11</v>
      </c>
      <c r="K11" s="161">
        <v>0.23</v>
      </c>
      <c r="L11" s="157">
        <v>0.23</v>
      </c>
      <c r="M11" s="161">
        <v>0</v>
      </c>
      <c r="N11" s="153"/>
      <c r="O11" s="33" t="e">
        <f>+IF(E11+G11+I11+K11+M11=#REF!,"OK","Err")</f>
        <v>#REF!</v>
      </c>
      <c r="P11" s="33" t="str">
        <f t="shared" si="8"/>
        <v>OK</v>
      </c>
    </row>
    <row r="12" spans="2:16" x14ac:dyDescent="0.25">
      <c r="B12" s="11" t="s">
        <v>2</v>
      </c>
      <c r="C12" s="160">
        <v>1.69</v>
      </c>
      <c r="D12" s="152">
        <v>1.31</v>
      </c>
      <c r="E12" s="160">
        <v>1.2</v>
      </c>
      <c r="F12" s="152">
        <v>1.08</v>
      </c>
      <c r="G12" s="160">
        <v>0.37</v>
      </c>
      <c r="H12" s="152">
        <v>0.35</v>
      </c>
      <c r="I12" s="160">
        <v>0.12</v>
      </c>
      <c r="J12" s="152">
        <v>0.11</v>
      </c>
      <c r="K12" s="160">
        <v>0</v>
      </c>
      <c r="L12" s="152">
        <v>-0.23</v>
      </c>
      <c r="M12" s="160">
        <v>0</v>
      </c>
      <c r="N12" s="154"/>
      <c r="O12" s="33" t="e">
        <f>+IF(E12+G12+I12+K12+M12=#REF!,"OK","Err")</f>
        <v>#REF!</v>
      </c>
      <c r="P12" s="33" t="str">
        <f t="shared" si="8"/>
        <v>Err</v>
      </c>
    </row>
    <row r="13" spans="2:16" x14ac:dyDescent="0.25">
      <c r="B13" s="15" t="s">
        <v>15</v>
      </c>
      <c r="C13" s="161">
        <v>1.67</v>
      </c>
      <c r="D13" s="157">
        <v>1.5</v>
      </c>
      <c r="E13" s="161">
        <v>1.38</v>
      </c>
      <c r="F13" s="157">
        <v>1.28</v>
      </c>
      <c r="G13" s="161">
        <v>0.25</v>
      </c>
      <c r="H13" s="157">
        <v>0.23</v>
      </c>
      <c r="I13" s="161">
        <v>0.13</v>
      </c>
      <c r="J13" s="157">
        <v>0.12</v>
      </c>
      <c r="K13" s="161">
        <v>-0.27</v>
      </c>
      <c r="L13" s="157">
        <v>-0.32</v>
      </c>
      <c r="M13" s="161">
        <v>0.18</v>
      </c>
      <c r="N13" s="153">
        <v>0.19</v>
      </c>
      <c r="O13" s="33" t="e">
        <f>+IF(E13+G13+I13+K13+M13=#REF!,"OK","Err")</f>
        <v>#REF!</v>
      </c>
      <c r="P13" s="33" t="str">
        <f t="shared" si="8"/>
        <v>Err</v>
      </c>
    </row>
    <row r="14" spans="2:16" x14ac:dyDescent="0.25">
      <c r="B14" s="11" t="s">
        <v>13</v>
      </c>
      <c r="C14" s="160">
        <v>1.3</v>
      </c>
      <c r="D14" s="152"/>
      <c r="E14" s="160">
        <v>0.83</v>
      </c>
      <c r="F14" s="152"/>
      <c r="G14" s="160">
        <v>0.39</v>
      </c>
      <c r="H14" s="152"/>
      <c r="I14" s="160">
        <v>0.15</v>
      </c>
      <c r="J14" s="152"/>
      <c r="K14" s="160">
        <v>0</v>
      </c>
      <c r="L14" s="152"/>
      <c r="M14" s="160">
        <v>0</v>
      </c>
      <c r="N14" s="154"/>
      <c r="O14" s="33" t="e">
        <f>+IF(E14+G14+I14+K14+M14=#REF!,"OK","Err")</f>
        <v>#REF!</v>
      </c>
      <c r="P14" s="33" t="str">
        <f t="shared" si="8"/>
        <v>Err</v>
      </c>
    </row>
    <row r="15" spans="2:16" x14ac:dyDescent="0.25">
      <c r="B15" s="18" t="s">
        <v>1</v>
      </c>
      <c r="C15" s="161">
        <v>0.95</v>
      </c>
      <c r="D15" s="157">
        <v>0.95</v>
      </c>
      <c r="E15" s="161">
        <v>0.71</v>
      </c>
      <c r="F15" s="157">
        <v>0.74</v>
      </c>
      <c r="G15" s="161">
        <v>0.34</v>
      </c>
      <c r="H15" s="157">
        <v>0.42</v>
      </c>
      <c r="I15" s="161">
        <v>0.05</v>
      </c>
      <c r="J15" s="157">
        <v>0.06</v>
      </c>
      <c r="K15" s="161">
        <v>0</v>
      </c>
      <c r="L15" s="157">
        <v>0</v>
      </c>
      <c r="M15" s="161">
        <v>-0.15</v>
      </c>
      <c r="N15" s="153">
        <v>-0.27</v>
      </c>
      <c r="O15" s="33" t="e">
        <f>+IF(E15+G15+I15+K15+M15=#REF!,"OK","Err")</f>
        <v>#REF!</v>
      </c>
      <c r="P15" s="33" t="str">
        <f t="shared" si="8"/>
        <v>OK</v>
      </c>
    </row>
    <row r="16" spans="2:16" x14ac:dyDescent="0.25">
      <c r="B16" s="21" t="s">
        <v>16</v>
      </c>
      <c r="C16" s="160">
        <v>1.23</v>
      </c>
      <c r="D16" s="152"/>
      <c r="E16" s="160">
        <v>0.78</v>
      </c>
      <c r="F16" s="152"/>
      <c r="G16" s="160">
        <v>0.34</v>
      </c>
      <c r="H16" s="152"/>
      <c r="I16" s="160">
        <v>0.05</v>
      </c>
      <c r="J16" s="152"/>
      <c r="K16" s="160">
        <v>0</v>
      </c>
      <c r="L16" s="152"/>
      <c r="M16" s="160">
        <v>0</v>
      </c>
      <c r="N16" s="154"/>
      <c r="O16" s="33" t="e">
        <f>+IF(E16+G16+I16+K16+M16=#REF!,"OK","Err")</f>
        <v>#REF!</v>
      </c>
      <c r="P16" s="33" t="str">
        <f t="shared" si="8"/>
        <v>Err</v>
      </c>
    </row>
    <row r="17" spans="2:16" x14ac:dyDescent="0.25">
      <c r="B17" s="15" t="s">
        <v>0</v>
      </c>
      <c r="C17" s="161">
        <v>1.17</v>
      </c>
      <c r="D17" s="157">
        <v>1.26</v>
      </c>
      <c r="E17" s="161">
        <v>1.1200000000000001</v>
      </c>
      <c r="F17" s="157">
        <v>1.2</v>
      </c>
      <c r="G17" s="161">
        <v>0.23</v>
      </c>
      <c r="H17" s="157">
        <v>0.24</v>
      </c>
      <c r="I17" s="161">
        <v>7.0000000000000007E-2</v>
      </c>
      <c r="J17" s="157">
        <v>0.06</v>
      </c>
      <c r="K17" s="161">
        <v>0</v>
      </c>
      <c r="L17" s="157"/>
      <c r="M17" s="161">
        <v>-0.27</v>
      </c>
      <c r="N17" s="153">
        <v>-0.24</v>
      </c>
      <c r="O17" s="33" t="e">
        <f>+IF(E17+G17+I17+K17+M17=#REF!,"OK","Err")</f>
        <v>#REF!</v>
      </c>
      <c r="P17" s="33" t="str">
        <f t="shared" si="8"/>
        <v>Err</v>
      </c>
    </row>
    <row r="18" spans="2:16" x14ac:dyDescent="0.25">
      <c r="B18" s="11" t="s">
        <v>12</v>
      </c>
      <c r="C18" s="160">
        <v>1.55</v>
      </c>
      <c r="D18" s="152"/>
      <c r="E18" s="160">
        <v>1.27</v>
      </c>
      <c r="F18" s="152"/>
      <c r="G18" s="160">
        <v>0.52</v>
      </c>
      <c r="H18" s="152"/>
      <c r="I18" s="160">
        <v>0</v>
      </c>
      <c r="J18" s="152"/>
      <c r="K18" s="160">
        <v>-0.32</v>
      </c>
      <c r="L18" s="152"/>
      <c r="M18" s="160">
        <v>0.08</v>
      </c>
      <c r="N18" s="154"/>
      <c r="O18" s="33" t="e">
        <f>+IF(E18+G18+I18+K18+M18=#REF!,"OK","Err")</f>
        <v>#REF!</v>
      </c>
      <c r="P18" s="33" t="str">
        <f t="shared" si="8"/>
        <v>Err</v>
      </c>
    </row>
    <row r="19" spans="2:16" x14ac:dyDescent="0.25">
      <c r="B19" s="15" t="s">
        <v>5</v>
      </c>
      <c r="C19" s="161">
        <v>2.0699999999999998</v>
      </c>
      <c r="D19" s="157"/>
      <c r="E19" s="161">
        <v>1.3</v>
      </c>
      <c r="F19" s="157"/>
      <c r="G19" s="161">
        <v>0.83</v>
      </c>
      <c r="H19" s="157"/>
      <c r="I19" s="161">
        <v>0.22</v>
      </c>
      <c r="J19" s="157"/>
      <c r="K19" s="161">
        <v>-0.2</v>
      </c>
      <c r="L19" s="157"/>
      <c r="M19" s="161">
        <v>-0.08</v>
      </c>
      <c r="N19" s="153"/>
      <c r="O19" s="33" t="e">
        <f>+IF(E19+G19+I19+K19+M19=#REF!,"OK","Err")</f>
        <v>#REF!</v>
      </c>
      <c r="P19" s="33" t="str">
        <f t="shared" si="8"/>
        <v>Err</v>
      </c>
    </row>
    <row r="20" spans="2:16" ht="14.4" thickBot="1" x14ac:dyDescent="0.3">
      <c r="B20" s="24" t="s">
        <v>4</v>
      </c>
      <c r="C20" s="162">
        <v>2.4</v>
      </c>
      <c r="D20" s="158"/>
      <c r="E20" s="162">
        <v>1.5</v>
      </c>
      <c r="F20" s="158"/>
      <c r="G20" s="162">
        <v>0.7</v>
      </c>
      <c r="H20" s="158"/>
      <c r="I20" s="162"/>
      <c r="J20" s="158"/>
      <c r="K20" s="162"/>
      <c r="L20" s="158"/>
      <c r="M20" s="162">
        <v>0.2</v>
      </c>
      <c r="N20" s="155"/>
      <c r="O20" s="33" t="e">
        <f>+IF(E20+G20+I20+K20+M20=#REF!,"OK","Err")</f>
        <v>#REF!</v>
      </c>
      <c r="P20" s="33" t="str">
        <f t="shared" si="8"/>
        <v>Err</v>
      </c>
    </row>
    <row r="21" spans="2:16" ht="7.5" customHeight="1" thickBot="1" x14ac:dyDescent="0.3">
      <c r="B21" s="5"/>
      <c r="C21" s="36"/>
      <c r="D21" s="36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2:16" s="5" customFormat="1" ht="21" customHeight="1" thickBot="1" x14ac:dyDescent="0.25">
      <c r="B22" s="264" t="str">
        <f>"Instructions: Enter breakdown of "&amp;Prior_Yr+1&amp;" Assessment Rates"</f>
        <v>Instructions: Enter breakdown of 2022 Assessment Rates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6"/>
    </row>
    <row r="23" spans="2:16" s="180" customFormat="1" ht="22.95" customHeight="1" x14ac:dyDescent="0.25">
      <c r="B23" s="180" t="str">
        <f>"Note:  Pre-filled "&amp;Prior_Yr&amp;" and "&amp;Prior_Yr+1&amp;" data was taken from the AWCBC website. Rate Components breakdown as provided by each jurisdiction. "</f>
        <v xml:space="preserve">Note:  Pre-filled 2021 and 2022 data was taken from the AWCBC website. Rate Components breakdown as provided by each jurisdiction. </v>
      </c>
      <c r="C23" s="181"/>
      <c r="D23" s="181"/>
      <c r="E23" s="181"/>
      <c r="F23" s="181"/>
      <c r="G23" s="181"/>
      <c r="H23" s="182"/>
      <c r="I23" s="182"/>
      <c r="J23" s="182"/>
      <c r="K23" s="182"/>
      <c r="L23" s="182"/>
      <c r="M23" s="182"/>
      <c r="N23" s="182"/>
    </row>
    <row r="24" spans="2:16" s="5" customFormat="1" ht="13.2" x14ac:dyDescent="0.25"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</row>
    <row r="25" spans="2:16" x14ac:dyDescent="0.25">
      <c r="B25" s="263" t="str">
        <f>Prior_Yr&amp;" vs "&amp;Prior_Yr+1&amp;" comparison per KSM Reports-Breakdown of Assessment Rates percentages"</f>
        <v>2021 vs 2022 comparison per KSM Reports-Breakdown of Assessment Rates percentages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</row>
    <row r="26" spans="2:16" x14ac:dyDescent="0.25">
      <c r="B26" s="281" t="s">
        <v>41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</row>
    <row r="27" spans="2:16" ht="14.4" thickBot="1" x14ac:dyDescent="0.3">
      <c r="B27" s="1"/>
      <c r="C27" s="35"/>
      <c r="D27" s="35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2:16" x14ac:dyDescent="0.25">
      <c r="B28" s="5"/>
      <c r="C28" s="257" t="s">
        <v>27</v>
      </c>
      <c r="D28" s="258"/>
      <c r="E28" s="267" t="s">
        <v>28</v>
      </c>
      <c r="F28" s="268"/>
      <c r="G28" s="268"/>
      <c r="H28" s="268"/>
      <c r="I28" s="268"/>
      <c r="J28" s="268"/>
      <c r="K28" s="268"/>
      <c r="L28" s="268"/>
      <c r="M28" s="268"/>
      <c r="N28" s="269"/>
    </row>
    <row r="29" spans="2:16" ht="14.4" thickBot="1" x14ac:dyDescent="0.3">
      <c r="B29" s="5"/>
      <c r="C29" s="259"/>
      <c r="D29" s="260"/>
      <c r="E29" s="270"/>
      <c r="F29" s="271"/>
      <c r="G29" s="271"/>
      <c r="H29" s="271"/>
      <c r="I29" s="271"/>
      <c r="J29" s="271"/>
      <c r="K29" s="271"/>
      <c r="L29" s="271"/>
      <c r="M29" s="271"/>
      <c r="N29" s="272"/>
    </row>
    <row r="30" spans="2:16" ht="27.75" customHeight="1" thickBot="1" x14ac:dyDescent="0.3">
      <c r="B30" s="5"/>
      <c r="C30" s="261"/>
      <c r="D30" s="262"/>
      <c r="E30" s="273" t="s">
        <v>29</v>
      </c>
      <c r="F30" s="274"/>
      <c r="G30" s="277" t="s">
        <v>8</v>
      </c>
      <c r="H30" s="278"/>
      <c r="I30" s="275" t="s">
        <v>30</v>
      </c>
      <c r="J30" s="276"/>
      <c r="K30" s="277" t="s">
        <v>31</v>
      </c>
      <c r="L30" s="278"/>
      <c r="M30" s="277" t="s">
        <v>32</v>
      </c>
      <c r="N30" s="279"/>
    </row>
    <row r="31" spans="2:16" ht="14.4" thickBot="1" x14ac:dyDescent="0.3">
      <c r="B31" s="5"/>
      <c r="C31" s="34">
        <f>+C8</f>
        <v>2022</v>
      </c>
      <c r="D31" s="32">
        <f>+D8</f>
        <v>2023</v>
      </c>
      <c r="E31" s="34">
        <f>+$C31</f>
        <v>2022</v>
      </c>
      <c r="F31" s="32">
        <f>+$D31</f>
        <v>2023</v>
      </c>
      <c r="G31" s="34">
        <f t="shared" ref="G31" si="9">+$C31</f>
        <v>2022</v>
      </c>
      <c r="H31" s="32">
        <f t="shared" ref="H31" si="10">+$D31</f>
        <v>2023</v>
      </c>
      <c r="I31" s="34">
        <f t="shared" ref="I31" si="11">+$C31</f>
        <v>2022</v>
      </c>
      <c r="J31" s="32">
        <f t="shared" ref="J31" si="12">+$D31</f>
        <v>2023</v>
      </c>
      <c r="K31" s="34">
        <f t="shared" ref="K31" si="13">+$C31</f>
        <v>2022</v>
      </c>
      <c r="L31" s="32">
        <f t="shared" ref="L31" si="14">+$D31</f>
        <v>2023</v>
      </c>
      <c r="M31" s="34">
        <f t="shared" ref="M31" si="15">+$C31</f>
        <v>2022</v>
      </c>
      <c r="N31" s="73">
        <f t="shared" ref="N31" si="16">+$D31</f>
        <v>2023</v>
      </c>
    </row>
    <row r="32" spans="2:16" x14ac:dyDescent="0.25">
      <c r="B32" s="7" t="s">
        <v>3</v>
      </c>
      <c r="C32" s="38" t="e">
        <f>+#REF!</f>
        <v>#REF!</v>
      </c>
      <c r="D32" s="38">
        <f t="shared" ref="D32:D42" si="17">+C9</f>
        <v>1.69</v>
      </c>
      <c r="E32" s="70" t="e">
        <f>+E9/#REF!</f>
        <v>#REF!</v>
      </c>
      <c r="F32" s="78">
        <f t="shared" ref="F32:F42" si="18">+F9/$C9</f>
        <v>0</v>
      </c>
      <c r="G32" s="70" t="e">
        <f>+G9/#REF!</f>
        <v>#REF!</v>
      </c>
      <c r="H32" s="78">
        <f t="shared" ref="H32:H42" si="19">+H9/$C9</f>
        <v>0</v>
      </c>
      <c r="I32" s="70" t="e">
        <f>+I9/#REF!</f>
        <v>#REF!</v>
      </c>
      <c r="J32" s="78">
        <f t="shared" ref="J32:J42" si="20">+J9/$C9</f>
        <v>0</v>
      </c>
      <c r="K32" s="70" t="e">
        <f>+K9/#REF!</f>
        <v>#REF!</v>
      </c>
      <c r="L32" s="78">
        <f t="shared" ref="L32:L42" si="21">+L9/$C9</f>
        <v>0</v>
      </c>
      <c r="M32" s="70" t="e">
        <f>+M9/#REF!</f>
        <v>#REF!</v>
      </c>
      <c r="N32" s="78">
        <f t="shared" ref="N32:N42" si="22">+N9/$C9</f>
        <v>0</v>
      </c>
    </row>
    <row r="33" spans="2:14" x14ac:dyDescent="0.25">
      <c r="B33" s="11" t="s">
        <v>14</v>
      </c>
      <c r="C33" s="39" t="e">
        <f>+#REF!</f>
        <v>#REF!</v>
      </c>
      <c r="D33" s="39">
        <f t="shared" si="17"/>
        <v>1.43</v>
      </c>
      <c r="E33" s="71" t="e">
        <f>+E10/#REF!</f>
        <v>#REF!</v>
      </c>
      <c r="F33" s="77">
        <f t="shared" si="18"/>
        <v>0</v>
      </c>
      <c r="G33" s="71" t="e">
        <f>+G10/#REF!</f>
        <v>#REF!</v>
      </c>
      <c r="H33" s="77">
        <f t="shared" si="19"/>
        <v>0</v>
      </c>
      <c r="I33" s="71" t="e">
        <f>+I10/#REF!</f>
        <v>#REF!</v>
      </c>
      <c r="J33" s="77">
        <f t="shared" si="20"/>
        <v>0</v>
      </c>
      <c r="K33" s="71" t="e">
        <f>+K10/#REF!</f>
        <v>#REF!</v>
      </c>
      <c r="L33" s="77">
        <f t="shared" si="21"/>
        <v>0</v>
      </c>
      <c r="M33" s="71" t="e">
        <f>+M10/#REF!</f>
        <v>#REF!</v>
      </c>
      <c r="N33" s="77">
        <f t="shared" si="22"/>
        <v>0</v>
      </c>
    </row>
    <row r="34" spans="2:14" x14ac:dyDescent="0.25">
      <c r="B34" s="15" t="s">
        <v>10</v>
      </c>
      <c r="C34" s="38" t="e">
        <f>+#REF!</f>
        <v>#REF!</v>
      </c>
      <c r="D34" s="38">
        <f t="shared" si="17"/>
        <v>2.65</v>
      </c>
      <c r="E34" s="70" t="e">
        <f>+E11/#REF!</f>
        <v>#REF!</v>
      </c>
      <c r="F34" s="78">
        <f t="shared" si="18"/>
        <v>0.67169811320754724</v>
      </c>
      <c r="G34" s="70" t="e">
        <f>+G11/#REF!</f>
        <v>#REF!</v>
      </c>
      <c r="H34" s="78">
        <f t="shared" si="19"/>
        <v>0.2</v>
      </c>
      <c r="I34" s="70" t="e">
        <f>+I11/#REF!</f>
        <v>#REF!</v>
      </c>
      <c r="J34" s="78">
        <f t="shared" si="20"/>
        <v>4.1509433962264156E-2</v>
      </c>
      <c r="K34" s="70" t="e">
        <f>+K11/#REF!</f>
        <v>#REF!</v>
      </c>
      <c r="L34" s="78">
        <f t="shared" si="21"/>
        <v>8.6792452830188688E-2</v>
      </c>
      <c r="M34" s="70" t="e">
        <f>+M11/#REF!</f>
        <v>#REF!</v>
      </c>
      <c r="N34" s="78">
        <f t="shared" si="22"/>
        <v>0</v>
      </c>
    </row>
    <row r="35" spans="2:14" x14ac:dyDescent="0.25">
      <c r="B35" s="11" t="s">
        <v>2</v>
      </c>
      <c r="C35" s="39" t="e">
        <f>+#REF!</f>
        <v>#REF!</v>
      </c>
      <c r="D35" s="39">
        <f t="shared" si="17"/>
        <v>1.69</v>
      </c>
      <c r="E35" s="71" t="e">
        <f>+E12/#REF!</f>
        <v>#REF!</v>
      </c>
      <c r="F35" s="77">
        <f t="shared" si="18"/>
        <v>0.63905325443786987</v>
      </c>
      <c r="G35" s="71" t="e">
        <f>+G12/#REF!</f>
        <v>#REF!</v>
      </c>
      <c r="H35" s="77">
        <f t="shared" si="19"/>
        <v>0.20710059171597633</v>
      </c>
      <c r="I35" s="71" t="e">
        <f>+I12/#REF!</f>
        <v>#REF!</v>
      </c>
      <c r="J35" s="77">
        <f t="shared" si="20"/>
        <v>6.5088757396449703E-2</v>
      </c>
      <c r="K35" s="71" t="e">
        <f>+K12/#REF!</f>
        <v>#REF!</v>
      </c>
      <c r="L35" s="77">
        <f t="shared" si="21"/>
        <v>-0.13609467455621302</v>
      </c>
      <c r="M35" s="71" t="e">
        <f>+M12/#REF!</f>
        <v>#REF!</v>
      </c>
      <c r="N35" s="77">
        <f t="shared" si="22"/>
        <v>0</v>
      </c>
    </row>
    <row r="36" spans="2:14" x14ac:dyDescent="0.25">
      <c r="B36" s="15" t="s">
        <v>15</v>
      </c>
      <c r="C36" s="38" t="e">
        <f>+#REF!</f>
        <v>#REF!</v>
      </c>
      <c r="D36" s="38">
        <f t="shared" si="17"/>
        <v>1.67</v>
      </c>
      <c r="E36" s="70" t="e">
        <f>+E13/#REF!</f>
        <v>#REF!</v>
      </c>
      <c r="F36" s="78">
        <f t="shared" si="18"/>
        <v>0.76646706586826352</v>
      </c>
      <c r="G36" s="70" t="e">
        <f>+G13/#REF!</f>
        <v>#REF!</v>
      </c>
      <c r="H36" s="78">
        <f t="shared" si="19"/>
        <v>0.1377245508982036</v>
      </c>
      <c r="I36" s="70" t="e">
        <f>+I13/#REF!</f>
        <v>#REF!</v>
      </c>
      <c r="J36" s="78">
        <f t="shared" si="20"/>
        <v>7.1856287425149698E-2</v>
      </c>
      <c r="K36" s="70" t="e">
        <f>+K13/#REF!</f>
        <v>#REF!</v>
      </c>
      <c r="L36" s="78">
        <f t="shared" si="21"/>
        <v>-0.19161676646706588</v>
      </c>
      <c r="M36" s="70" t="e">
        <f>+M13/#REF!</f>
        <v>#REF!</v>
      </c>
      <c r="N36" s="78">
        <f t="shared" si="22"/>
        <v>0.11377245508982037</v>
      </c>
    </row>
    <row r="37" spans="2:14" x14ac:dyDescent="0.25">
      <c r="B37" s="11" t="s">
        <v>13</v>
      </c>
      <c r="C37" s="39" t="e">
        <f>+#REF!</f>
        <v>#REF!</v>
      </c>
      <c r="D37" s="39">
        <f t="shared" si="17"/>
        <v>1.3</v>
      </c>
      <c r="E37" s="71" t="e">
        <f>+E14/#REF!</f>
        <v>#REF!</v>
      </c>
      <c r="F37" s="77">
        <f t="shared" si="18"/>
        <v>0</v>
      </c>
      <c r="G37" s="71" t="e">
        <f>+G14/#REF!</f>
        <v>#REF!</v>
      </c>
      <c r="H37" s="77">
        <f t="shared" si="19"/>
        <v>0</v>
      </c>
      <c r="I37" s="71" t="e">
        <f>+I14/#REF!</f>
        <v>#REF!</v>
      </c>
      <c r="J37" s="77">
        <f t="shared" si="20"/>
        <v>0</v>
      </c>
      <c r="K37" s="71" t="e">
        <f>+K14/#REF!</f>
        <v>#REF!</v>
      </c>
      <c r="L37" s="77">
        <f t="shared" si="21"/>
        <v>0</v>
      </c>
      <c r="M37" s="71" t="e">
        <f>+M14/#REF!</f>
        <v>#REF!</v>
      </c>
      <c r="N37" s="77">
        <f t="shared" si="22"/>
        <v>0</v>
      </c>
    </row>
    <row r="38" spans="2:14" x14ac:dyDescent="0.25">
      <c r="B38" s="18" t="s">
        <v>1</v>
      </c>
      <c r="C38" s="38" t="e">
        <f>+#REF!</f>
        <v>#REF!</v>
      </c>
      <c r="D38" s="38">
        <f t="shared" si="17"/>
        <v>0.95</v>
      </c>
      <c r="E38" s="70" t="e">
        <f>+E15/#REF!</f>
        <v>#REF!</v>
      </c>
      <c r="F38" s="78">
        <f t="shared" si="18"/>
        <v>0.77894736842105261</v>
      </c>
      <c r="G38" s="70" t="e">
        <f>+G15/#REF!</f>
        <v>#REF!</v>
      </c>
      <c r="H38" s="78">
        <f t="shared" si="19"/>
        <v>0.44210526315789472</v>
      </c>
      <c r="I38" s="70" t="e">
        <f>+I15/#REF!</f>
        <v>#REF!</v>
      </c>
      <c r="J38" s="78">
        <f t="shared" si="20"/>
        <v>6.3157894736842107E-2</v>
      </c>
      <c r="K38" s="70" t="e">
        <f>+K15/#REF!</f>
        <v>#REF!</v>
      </c>
      <c r="L38" s="78">
        <f t="shared" si="21"/>
        <v>0</v>
      </c>
      <c r="M38" s="70" t="e">
        <f>+M15/#REF!</f>
        <v>#REF!</v>
      </c>
      <c r="N38" s="78">
        <f t="shared" si="22"/>
        <v>-0.28421052631578952</v>
      </c>
    </row>
    <row r="39" spans="2:14" x14ac:dyDescent="0.25">
      <c r="B39" s="21" t="s">
        <v>16</v>
      </c>
      <c r="C39" s="39" t="e">
        <f>+#REF!</f>
        <v>#REF!</v>
      </c>
      <c r="D39" s="39">
        <f t="shared" si="17"/>
        <v>1.23</v>
      </c>
      <c r="E39" s="71" t="e">
        <f>+E16/#REF!</f>
        <v>#REF!</v>
      </c>
      <c r="F39" s="77">
        <f t="shared" si="18"/>
        <v>0</v>
      </c>
      <c r="G39" s="71" t="e">
        <f>+G16/#REF!</f>
        <v>#REF!</v>
      </c>
      <c r="H39" s="77">
        <f t="shared" si="19"/>
        <v>0</v>
      </c>
      <c r="I39" s="71" t="e">
        <f>+I16/#REF!</f>
        <v>#REF!</v>
      </c>
      <c r="J39" s="77">
        <f t="shared" si="20"/>
        <v>0</v>
      </c>
      <c r="K39" s="71" t="e">
        <f>+K16/#REF!</f>
        <v>#REF!</v>
      </c>
      <c r="L39" s="77">
        <f t="shared" si="21"/>
        <v>0</v>
      </c>
      <c r="M39" s="71" t="e">
        <f>+M16/#REF!</f>
        <v>#REF!</v>
      </c>
      <c r="N39" s="77">
        <f t="shared" si="22"/>
        <v>0</v>
      </c>
    </row>
    <row r="40" spans="2:14" x14ac:dyDescent="0.25">
      <c r="B40" s="15" t="s">
        <v>0</v>
      </c>
      <c r="C40" s="38" t="e">
        <f>+#REF!</f>
        <v>#REF!</v>
      </c>
      <c r="D40" s="38">
        <f t="shared" si="17"/>
        <v>1.17</v>
      </c>
      <c r="E40" s="70" t="e">
        <f>+E17/#REF!</f>
        <v>#REF!</v>
      </c>
      <c r="F40" s="78">
        <f t="shared" si="18"/>
        <v>1.0256410256410258</v>
      </c>
      <c r="G40" s="70" t="e">
        <f>+G17/#REF!</f>
        <v>#REF!</v>
      </c>
      <c r="H40" s="78">
        <f t="shared" si="19"/>
        <v>0.20512820512820512</v>
      </c>
      <c r="I40" s="70" t="e">
        <f>+I17/#REF!</f>
        <v>#REF!</v>
      </c>
      <c r="J40" s="78">
        <f t="shared" si="20"/>
        <v>5.128205128205128E-2</v>
      </c>
      <c r="K40" s="70" t="e">
        <f>+K17/#REF!</f>
        <v>#REF!</v>
      </c>
      <c r="L40" s="78">
        <f t="shared" si="21"/>
        <v>0</v>
      </c>
      <c r="M40" s="70" t="e">
        <f>+M17/#REF!</f>
        <v>#REF!</v>
      </c>
      <c r="N40" s="78">
        <f t="shared" si="22"/>
        <v>-0.20512820512820512</v>
      </c>
    </row>
    <row r="41" spans="2:14" x14ac:dyDescent="0.25">
      <c r="B41" s="11" t="s">
        <v>12</v>
      </c>
      <c r="C41" s="39" t="e">
        <f>+#REF!</f>
        <v>#REF!</v>
      </c>
      <c r="D41" s="39">
        <f t="shared" si="17"/>
        <v>1.55</v>
      </c>
      <c r="E41" s="71" t="e">
        <f>+E18/#REF!</f>
        <v>#REF!</v>
      </c>
      <c r="F41" s="77">
        <f t="shared" si="18"/>
        <v>0</v>
      </c>
      <c r="G41" s="71" t="e">
        <f>+G18/#REF!</f>
        <v>#REF!</v>
      </c>
      <c r="H41" s="77">
        <f t="shared" si="19"/>
        <v>0</v>
      </c>
      <c r="I41" s="71" t="e">
        <f>+I18/#REF!</f>
        <v>#REF!</v>
      </c>
      <c r="J41" s="77">
        <f t="shared" si="20"/>
        <v>0</v>
      </c>
      <c r="K41" s="71" t="e">
        <f>+K18/#REF!</f>
        <v>#REF!</v>
      </c>
      <c r="L41" s="77">
        <f t="shared" si="21"/>
        <v>0</v>
      </c>
      <c r="M41" s="71" t="e">
        <f>+M18/#REF!</f>
        <v>#REF!</v>
      </c>
      <c r="N41" s="77">
        <f t="shared" si="22"/>
        <v>0</v>
      </c>
    </row>
    <row r="42" spans="2:14" x14ac:dyDescent="0.25">
      <c r="B42" s="15" t="s">
        <v>5</v>
      </c>
      <c r="C42" s="38" t="e">
        <f>+#REF!</f>
        <v>#REF!</v>
      </c>
      <c r="D42" s="38">
        <f t="shared" si="17"/>
        <v>2.0699999999999998</v>
      </c>
      <c r="E42" s="70" t="e">
        <f>+E19/#REF!</f>
        <v>#REF!</v>
      </c>
      <c r="F42" s="78">
        <f t="shared" si="18"/>
        <v>0</v>
      </c>
      <c r="G42" s="70" t="e">
        <f>+G19/#REF!</f>
        <v>#REF!</v>
      </c>
      <c r="H42" s="78">
        <f t="shared" si="19"/>
        <v>0</v>
      </c>
      <c r="I42" s="70" t="e">
        <f>+I19/#REF!</f>
        <v>#REF!</v>
      </c>
      <c r="J42" s="78">
        <f t="shared" si="20"/>
        <v>0</v>
      </c>
      <c r="K42" s="70" t="e">
        <f>+K19/#REF!</f>
        <v>#REF!</v>
      </c>
      <c r="L42" s="78">
        <f t="shared" si="21"/>
        <v>0</v>
      </c>
      <c r="M42" s="70" t="e">
        <f>+M19/#REF!</f>
        <v>#REF!</v>
      </c>
      <c r="N42" s="78">
        <f t="shared" si="22"/>
        <v>0</v>
      </c>
    </row>
    <row r="43" spans="2:14" ht="14.4" thickBot="1" x14ac:dyDescent="0.3">
      <c r="B43" s="24" t="s">
        <v>4</v>
      </c>
      <c r="C43" s="104">
        <v>2.4</v>
      </c>
      <c r="D43" s="104">
        <v>2.4</v>
      </c>
      <c r="E43" s="72">
        <v>0.625</v>
      </c>
      <c r="F43" s="79">
        <v>0.64583333333333337</v>
      </c>
      <c r="G43" s="72">
        <v>0.29166666666666669</v>
      </c>
      <c r="H43" s="79">
        <v>0.27083333333333337</v>
      </c>
      <c r="I43" s="72">
        <v>0</v>
      </c>
      <c r="J43" s="79">
        <v>0</v>
      </c>
      <c r="K43" s="72">
        <v>0</v>
      </c>
      <c r="L43" s="79">
        <v>0</v>
      </c>
      <c r="M43" s="72">
        <v>8.3333333333333343E-2</v>
      </c>
      <c r="N43" s="79">
        <v>8.3333333333333343E-2</v>
      </c>
    </row>
    <row r="44" spans="2:14" x14ac:dyDescent="0.25">
      <c r="B44" s="5"/>
      <c r="C44" s="36"/>
      <c r="D44" s="36"/>
      <c r="E44" s="30"/>
      <c r="F44" s="30"/>
      <c r="G44" s="30"/>
      <c r="H44" s="30"/>
      <c r="I44" s="30"/>
      <c r="J44" s="30"/>
      <c r="K44" s="30"/>
      <c r="L44" s="30"/>
      <c r="M44" s="30"/>
      <c r="N44" s="30"/>
    </row>
  </sheetData>
  <sheetProtection selectLockedCells="1" selectUnlockedCells="1"/>
  <mergeCells count="21">
    <mergeCell ref="B24:N24"/>
    <mergeCell ref="B25:N25"/>
    <mergeCell ref="C28:D30"/>
    <mergeCell ref="E28:N29"/>
    <mergeCell ref="E30:F30"/>
    <mergeCell ref="G30:H30"/>
    <mergeCell ref="B26:N26"/>
    <mergeCell ref="I30:J30"/>
    <mergeCell ref="K30:L30"/>
    <mergeCell ref="M30:N30"/>
    <mergeCell ref="O7:P7"/>
    <mergeCell ref="B1:N1"/>
    <mergeCell ref="C5:D7"/>
    <mergeCell ref="B3:N3"/>
    <mergeCell ref="B22:N22"/>
    <mergeCell ref="E5:N6"/>
    <mergeCell ref="E7:F7"/>
    <mergeCell ref="I7:J7"/>
    <mergeCell ref="G7:H7"/>
    <mergeCell ref="M7:N7"/>
    <mergeCell ref="K7:L7"/>
  </mergeCells>
  <pageMargins left="0.7" right="0.7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050CB0A9C2CB49AAC37FBE5FD1A213" ma:contentTypeVersion="14" ma:contentTypeDescription="Create a new document." ma:contentTypeScope="" ma:versionID="48774b26e60b0ee9956624a214888b38">
  <xsd:schema xmlns:xsd="http://www.w3.org/2001/XMLSchema" xmlns:xs="http://www.w3.org/2001/XMLSchema" xmlns:p="http://schemas.microsoft.com/office/2006/metadata/properties" xmlns:ns2="434d58ad-4408-4966-b4ec-263a7a2d84f8" xmlns:ns3="2c3d3e00-c50d-436f-8224-7901df433daa" targetNamespace="http://schemas.microsoft.com/office/2006/metadata/properties" ma:root="true" ma:fieldsID="be859bdb991e2abd2059e77329cdbff5" ns2:_="" ns3:_="">
    <xsd:import namespace="434d58ad-4408-4966-b4ec-263a7a2d84f8"/>
    <xsd:import namespace="2c3d3e00-c50d-436f-8224-7901df433da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d58ad-4408-4966-b4ec-263a7a2d84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a685158-0f30-4fbb-b443-62c5eefb64b2}" ma:internalName="TaxCatchAll" ma:showField="CatchAllData" ma:web="434d58ad-4408-4966-b4ec-263a7a2d84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d3e00-c50d-436f-8224-7901df433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09f8303-ef27-4ab4-bba4-9e2eeb0b81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629D7-478C-4048-80BA-FA22E327CABB}"/>
</file>

<file path=customXml/itemProps2.xml><?xml version="1.0" encoding="utf-8"?>
<ds:datastoreItem xmlns:ds="http://schemas.openxmlformats.org/officeDocument/2006/customXml" ds:itemID="{C7930406-978F-4167-849B-E7E44BE872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Preliminary Financials</vt:lpstr>
      <vt:lpstr>Funding-Target vs Position</vt:lpstr>
      <vt:lpstr>Assessment Rates</vt:lpstr>
      <vt:lpstr>'Assessment Rates'!Print_Area</vt:lpstr>
      <vt:lpstr>'Funding-Target vs Position'!Print_Area</vt:lpstr>
      <vt:lpstr>'Funding-Target vs Position'!Print_Titles</vt:lpstr>
      <vt:lpstr>'Preliminary Financials'!Print_Titles</vt:lpstr>
      <vt:lpstr>Prior_Yr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Jilal Jemal</cp:lastModifiedBy>
  <cp:lastPrinted>2022-03-15T23:21:50Z</cp:lastPrinted>
  <dcterms:created xsi:type="dcterms:W3CDTF">2014-09-19T15:21:58Z</dcterms:created>
  <dcterms:modified xsi:type="dcterms:W3CDTF">2023-05-15T17:07:49Z</dcterms:modified>
</cp:coreProperties>
</file>